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625" yWindow="65341" windowWidth="6615" windowHeight="8925" activeTab="0"/>
  </bookViews>
  <sheets>
    <sheet name="W Vergleich Sohlen" sheetId="1" r:id="rId1"/>
    <sheet name="Begriffe" sheetId="2" state="hidden" r:id="rId2"/>
  </sheets>
  <definedNames>
    <definedName name="_xlnm.Print_Area" localSheetId="1">'Begriffe'!$A$1:$B$84</definedName>
    <definedName name="_xlnm.Print_Area" localSheetId="0">'W Vergleich Sohlen'!$A$1:$L$70</definedName>
  </definedNames>
  <calcPr fullCalcOnLoad="1"/>
</workbook>
</file>

<file path=xl/sharedStrings.xml><?xml version="1.0" encoding="utf-8"?>
<sst xmlns="http://schemas.openxmlformats.org/spreadsheetml/2006/main" count="862" uniqueCount="401">
  <si>
    <t xml:space="preserve"> </t>
  </si>
  <si>
    <t>Error</t>
  </si>
  <si>
    <t>Deutsch</t>
  </si>
  <si>
    <t>Englisch</t>
  </si>
  <si>
    <t>Kriterium</t>
  </si>
  <si>
    <t>Die Eingaben betreffen Datenvorgaben für unbesohlte Schwellen (Daten für besohlte Schwellen sind Fixdaten)</t>
  </si>
  <si>
    <t>Ausbau und Wartung mit besohlten Schwellen</t>
  </si>
  <si>
    <t>Summe</t>
  </si>
  <si>
    <t xml:space="preserve">The inputs of ....... </t>
  </si>
  <si>
    <t>Kontrolle</t>
  </si>
  <si>
    <t>Umbaukosten / km</t>
  </si>
  <si>
    <t>km/h</t>
  </si>
  <si>
    <t>Jahre</t>
  </si>
  <si>
    <t>Richten</t>
  </si>
  <si>
    <t>Schleifen</t>
  </si>
  <si>
    <t>Geschw.</t>
  </si>
  <si>
    <t>Verkehr</t>
  </si>
  <si>
    <t>Schotterreinigen</t>
  </si>
  <si>
    <t>Schottertausch</t>
  </si>
  <si>
    <t>Schwellentausch</t>
  </si>
  <si>
    <t>LT/a</t>
  </si>
  <si>
    <t>Schotter-</t>
  </si>
  <si>
    <t>Kosten</t>
  </si>
  <si>
    <t>€ / 1</t>
  </si>
  <si>
    <t>Faktor</t>
  </si>
  <si>
    <t>€ /1</t>
  </si>
  <si>
    <t>€  / 1</t>
  </si>
  <si>
    <t>qualität</t>
  </si>
  <si>
    <t>Erstleisztung +</t>
  </si>
  <si>
    <t>Wartung in Jahren</t>
  </si>
  <si>
    <t>English</t>
  </si>
  <si>
    <t>Intervall</t>
  </si>
  <si>
    <t>m. Sohle</t>
  </si>
  <si>
    <t>o. Sohle</t>
  </si>
  <si>
    <t>Spanisch</t>
  </si>
  <si>
    <t>Koreanisch</t>
  </si>
  <si>
    <t>Ersteinbau</t>
  </si>
  <si>
    <t>Griechisch</t>
  </si>
  <si>
    <t xml:space="preserve">  </t>
  </si>
  <si>
    <t>Dänisch</t>
  </si>
  <si>
    <t>Niederländisch</t>
  </si>
  <si>
    <t>.</t>
  </si>
  <si>
    <t>kein Schleifen</t>
  </si>
  <si>
    <t>keine Schotterreinigung</t>
  </si>
  <si>
    <t>kein Schwellenaustausch</t>
  </si>
  <si>
    <t>B 70</t>
  </si>
  <si>
    <r>
      <t xml:space="preserve">Anmerkung </t>
    </r>
    <r>
      <rPr>
        <vertAlign val="superscript"/>
        <sz val="12"/>
        <rFont val="Times New Roman"/>
        <family val="0"/>
      </rPr>
      <t>1)</t>
    </r>
    <r>
      <rPr>
        <sz val="12"/>
        <rFont val="Times New Roman"/>
        <family val="0"/>
      </rPr>
      <t xml:space="preserve"> die </t>
    </r>
    <r>
      <rPr>
        <sz val="12"/>
        <color indexed="17"/>
        <rFont val="Times New Roman"/>
        <family val="1"/>
      </rPr>
      <t>grün</t>
    </r>
    <r>
      <rPr>
        <sz val="12"/>
        <rFont val="Times New Roman"/>
        <family val="0"/>
      </rPr>
      <t xml:space="preserve"> eingetragenen Ziffern sind mit Formeln hinterlegt und dürfen nicht geändert werden</t>
    </r>
  </si>
  <si>
    <t xml:space="preserve">Übertrags - Eingabe </t>
  </si>
  <si>
    <t>Deutsch (Musterspalte, nicht formatiert)</t>
  </si>
  <si>
    <t>Korea</t>
  </si>
  <si>
    <t xml:space="preserve">      Wirtschaftlichkeitsvergleich zwischen unbesohlten Schwellen und Schwellen mit elastischer Besohlung</t>
  </si>
  <si>
    <t xml:space="preserve">                 LCC ........... koreanischer Text (steht noch nicht zur Verfügung / zur Zeit in Bearbeitung)</t>
  </si>
  <si>
    <t xml:space="preserve">                                             Die griechische Version ist noch nicht verfügbar</t>
  </si>
  <si>
    <t xml:space="preserve">Vergelijking van de rentabiliteit tussen bielzen zonder fundamentlaag en bielzen met elastische fundamentlaag
</t>
  </si>
  <si>
    <t>Data to be entered refers to sleepers without pads. (Data for sleepers with pads is fixed data.)</t>
  </si>
  <si>
    <t>los detalles introducidos se refieren a datos específicos para traviesas sin almohadilla elástica (los datos sobre las traviesas con almohadillas no son variables)</t>
  </si>
  <si>
    <t>Entries to be made refer to data input for sleepers without pads. (Data for sleepers with pads is fixed data.)</t>
  </si>
  <si>
    <t>De invoer betreffen kengetalen voor bielzen zonder fundamentlaag (Gegevens voor bielzen met fundametlaag zijn vaste gegevens).</t>
  </si>
  <si>
    <t>Schotterqualität</t>
  </si>
  <si>
    <t>Ballast quality</t>
  </si>
  <si>
    <t>calidad del balasto</t>
  </si>
  <si>
    <t>Kwaliteit van het ballast</t>
  </si>
  <si>
    <t>Kalksteinschotter</t>
  </si>
  <si>
    <t>Crushed limestone</t>
  </si>
  <si>
    <t>balasto de piedra caliza</t>
  </si>
  <si>
    <t>Kalksteen ballast</t>
  </si>
  <si>
    <t>Hartsteinschotter</t>
  </si>
  <si>
    <t>Crushed hard rock</t>
  </si>
  <si>
    <t xml:space="preserve">balastro de piedra extradura </t>
  </si>
  <si>
    <t>Hard gesteente ballast</t>
  </si>
  <si>
    <t xml:space="preserve">Geschwindigkeit </t>
  </si>
  <si>
    <t>Speed</t>
  </si>
  <si>
    <t>velocidad</t>
  </si>
  <si>
    <t>Snelheid</t>
  </si>
  <si>
    <t>Personenverkehr</t>
  </si>
  <si>
    <t>Passenger traffic</t>
  </si>
  <si>
    <t>transporte de pasajeros</t>
  </si>
  <si>
    <t>Personenvervoer</t>
  </si>
  <si>
    <t xml:space="preserve">Verkehrsart </t>
  </si>
  <si>
    <t>Type of traffic</t>
  </si>
  <si>
    <t>tipo de transporte</t>
  </si>
  <si>
    <t>Verkeerscategorie</t>
  </si>
  <si>
    <t>Güterverkehr</t>
  </si>
  <si>
    <t>Goods traffic</t>
  </si>
  <si>
    <t>transporte de mercancías</t>
  </si>
  <si>
    <t>Goederenverkeer</t>
  </si>
  <si>
    <t xml:space="preserve">Lasttonnen im Jahr </t>
  </si>
  <si>
    <t>Load tonnes per year</t>
  </si>
  <si>
    <t>toneladas de carga al año</t>
  </si>
  <si>
    <t xml:space="preserve">Tonnage per jaar </t>
  </si>
  <si>
    <t>Mischverkehr</t>
  </si>
  <si>
    <t>Mixed traffic</t>
  </si>
  <si>
    <t>transporte mixto</t>
  </si>
  <si>
    <t>Mengverkeer</t>
  </si>
  <si>
    <t>Richt- und Stopfintervalle</t>
  </si>
  <si>
    <t>Straightening and tamping intervals</t>
  </si>
  <si>
    <t xml:space="preserve">periodicidad de la </t>
  </si>
  <si>
    <r>
      <t xml:space="preserve">Richt- en </t>
    </r>
    <r>
      <rPr>
        <sz val="11"/>
        <color indexed="10"/>
        <rFont val="Times New Roman"/>
        <family val="1"/>
      </rPr>
      <t xml:space="preserve">Stopf </t>
    </r>
    <r>
      <rPr>
        <sz val="11"/>
        <rFont val="Times New Roman"/>
        <family val="1"/>
      </rPr>
      <t>intervalen</t>
    </r>
    <r>
      <rPr>
        <sz val="11"/>
        <color indexed="10"/>
        <rFont val="Times New Roman"/>
        <family val="1"/>
      </rPr>
      <t xml:space="preserve">
</t>
    </r>
  </si>
  <si>
    <r>
      <t xml:space="preserve">Richt- en </t>
    </r>
    <r>
      <rPr>
        <sz val="11"/>
        <color indexed="10"/>
        <rFont val="Times New Roman"/>
        <family val="1"/>
      </rPr>
      <t xml:space="preserve">Stopf </t>
    </r>
    <r>
      <rPr>
        <sz val="11"/>
        <rFont val="Times New Roman"/>
        <family val="1"/>
      </rPr>
      <t>intervalen</t>
    </r>
  </si>
  <si>
    <t>Mio. Lasttonnen / Jahr</t>
  </si>
  <si>
    <t>million load tonnes per year</t>
  </si>
  <si>
    <t>millones de toneladas de carga/ año</t>
  </si>
  <si>
    <t>Tonnage in miljoenen per jaar</t>
  </si>
  <si>
    <t>Schienenschleifen (Intervall)</t>
  </si>
  <si>
    <t>Rail grinding (interval)</t>
  </si>
  <si>
    <t>amolado de carriles (Intervalo)</t>
  </si>
  <si>
    <t>Spoorstaafslijpen (Interval)</t>
  </si>
  <si>
    <t>years</t>
  </si>
  <si>
    <t>años</t>
  </si>
  <si>
    <t>Jaren</t>
  </si>
  <si>
    <t xml:space="preserve">Schotterreinigung </t>
  </si>
  <si>
    <t>Ballast cleaning</t>
  </si>
  <si>
    <t>limpieza del balasto</t>
  </si>
  <si>
    <t>Ballastreiniging</t>
  </si>
  <si>
    <t>Material- und Leistungspreise (Deutschland)</t>
  </si>
  <si>
    <t xml:space="preserve">                          Material and service prices (Germany)</t>
  </si>
  <si>
    <t xml:space="preserve">                         precios del material y el servicio (Alemania)</t>
  </si>
  <si>
    <t>Material and service prices (Germany)</t>
  </si>
  <si>
    <t xml:space="preserve">Materiaal- en rentabiliteisprijsen (Duitsland) </t>
  </si>
  <si>
    <t xml:space="preserve">                 Materiaal- en rentabiliteisprijsen (Duitsland) </t>
  </si>
  <si>
    <t xml:space="preserve">Schotteraustausch </t>
  </si>
  <si>
    <t>Ballast replacement</t>
  </si>
  <si>
    <t>reemplazamiento del balasto</t>
  </si>
  <si>
    <t xml:space="preserve">Ballast uitwisseling </t>
  </si>
  <si>
    <t>(Schottererneuerung)</t>
  </si>
  <si>
    <t>(Ballast renewal)</t>
  </si>
  <si>
    <t>(renovación del balasto)</t>
  </si>
  <si>
    <t>Ballast renewal</t>
  </si>
  <si>
    <t>(Ballast  vernieuwing)</t>
  </si>
  <si>
    <t>Schwellenaustausch</t>
  </si>
  <si>
    <t>Sleeper replacement</t>
  </si>
  <si>
    <t>reemplazamiento de traviesas</t>
  </si>
  <si>
    <t xml:space="preserve">Uitwisseling bielzen </t>
  </si>
  <si>
    <t>Eingabe für besohlte Schwellen</t>
  </si>
  <si>
    <t>Input for sleepers with pads</t>
  </si>
  <si>
    <t>datos sobre traviesas con almohadilla elástica</t>
  </si>
  <si>
    <t>De Invoer van bielzen met fundamentlaag</t>
  </si>
  <si>
    <t>Eingabe für Material- und Leistungspreise</t>
  </si>
  <si>
    <t>Input for material and service prices</t>
  </si>
  <si>
    <t>datos sobre precios de materiales y servicios</t>
  </si>
  <si>
    <t>De Invoer van materiaal- en vermogen prijzen</t>
  </si>
  <si>
    <t>LCC - Grafik</t>
  </si>
  <si>
    <t>LCC graphic</t>
  </si>
  <si>
    <t>gráfico LCC</t>
  </si>
  <si>
    <r>
      <t>LCC</t>
    </r>
    <r>
      <rPr>
        <sz val="11"/>
        <color indexed="8"/>
        <rFont val="Times New Roman"/>
        <family val="1"/>
      </rPr>
      <t xml:space="preserve"> - grafiek</t>
    </r>
  </si>
  <si>
    <r>
      <t xml:space="preserve">Inlandpreise </t>
    </r>
    <r>
      <rPr>
        <b/>
        <vertAlign val="superscript"/>
        <sz val="12"/>
        <rFont val="Times New Roman"/>
        <family val="1"/>
      </rPr>
      <t>1)</t>
    </r>
  </si>
  <si>
    <t>Domestic prices 1)</t>
  </si>
  <si>
    <t>precios nacionales</t>
  </si>
  <si>
    <t>Binnenlandseprijzen</t>
  </si>
  <si>
    <t xml:space="preserve">(Preise als Komplettleistung </t>
  </si>
  <si>
    <t xml:space="preserve">(Prices for complete scope </t>
  </si>
  <si>
    <t>precios del servicio completo</t>
  </si>
  <si>
    <t>(Prices for complete scope of work including all extra charges, etc.; average of three German railway track construction companies)</t>
  </si>
  <si>
    <t>(Prijzen als totaalpakket</t>
  </si>
  <si>
    <t>einschl. aller Zuschläge etc.</t>
  </si>
  <si>
    <t xml:space="preserve">of works, price average of three German </t>
  </si>
  <si>
    <t>todos los suplementos incluidos</t>
  </si>
  <si>
    <t xml:space="preserve">Straightening / tamping </t>
  </si>
  <si>
    <t>Inclusief alle toeslagen</t>
  </si>
  <si>
    <t xml:space="preserve">als Mittel dreier deutscher </t>
  </si>
  <si>
    <t>railtrack construction companies)</t>
  </si>
  <si>
    <t xml:space="preserve">como medio de tres </t>
  </si>
  <si>
    <t>Grinding</t>
  </si>
  <si>
    <t>Gemiddelde van drie ?</t>
  </si>
  <si>
    <t>gemiddelde van drie ondernemingen</t>
  </si>
  <si>
    <t xml:space="preserve">Bahnbaufirmen - Preisbasis 2004) </t>
  </si>
  <si>
    <t xml:space="preserve">empresas constructoras </t>
  </si>
  <si>
    <t>Ondernemingen uit de spoorwegenbouw -  2004 Prijsbasis</t>
  </si>
  <si>
    <t>uit de spoorwegenbouw -  2004 Prijsbasis)</t>
  </si>
  <si>
    <t>frei</t>
  </si>
  <si>
    <t>alineación y del bateado</t>
  </si>
  <si>
    <t>Richten / Stopfen</t>
  </si>
  <si>
    <t>batear</t>
  </si>
  <si>
    <r>
      <t xml:space="preserve">Richten / </t>
    </r>
    <r>
      <rPr>
        <sz val="11"/>
        <color indexed="10"/>
        <rFont val="Times New Roman"/>
        <family val="1"/>
      </rPr>
      <t>Stopfen</t>
    </r>
  </si>
  <si>
    <t xml:space="preserve">alinear/amolar </t>
  </si>
  <si>
    <t>Ballast</t>
  </si>
  <si>
    <t>Slijpen oder slepen</t>
  </si>
  <si>
    <t>Schotterreinigung</t>
  </si>
  <si>
    <t>Sleeper without pad</t>
  </si>
  <si>
    <t>renovación del balasto</t>
  </si>
  <si>
    <t>Sleeper with pad</t>
  </si>
  <si>
    <t>Ballast uitwisseling</t>
  </si>
  <si>
    <t>Sleeper recycling</t>
  </si>
  <si>
    <t>Schotter</t>
  </si>
  <si>
    <t>balasto</t>
  </si>
  <si>
    <t>Sleeper pad as-mounted on sleeper</t>
  </si>
  <si>
    <t>Schwelle o. Sohle</t>
  </si>
  <si>
    <t>traviesa sin almohadilla</t>
  </si>
  <si>
    <t>Ballast volume</t>
  </si>
  <si>
    <t>Biels zonder fundamentlaag</t>
  </si>
  <si>
    <t>Schwelle m. Sohle</t>
  </si>
  <si>
    <t>traviesa con almohadilla</t>
  </si>
  <si>
    <t>Sleeper type</t>
  </si>
  <si>
    <t>Biels met fundamentlaag</t>
  </si>
  <si>
    <t>Schwellenrecycling</t>
  </si>
  <si>
    <t>reciclado de traviesas</t>
  </si>
  <si>
    <t>Sleeper span</t>
  </si>
  <si>
    <t>bielzenrecycling</t>
  </si>
  <si>
    <t>Sohle incl. Montage</t>
  </si>
  <si>
    <t>Sleeper pad, incl. assembly</t>
  </si>
  <si>
    <t>almohadilla incluido montaje</t>
  </si>
  <si>
    <t>€ / km</t>
  </si>
  <si>
    <t>Fundamentlaag inclusief montage</t>
  </si>
  <si>
    <t>Schottervolumen</t>
  </si>
  <si>
    <t>volumen de balasto</t>
  </si>
  <si>
    <t>Ballastvolume</t>
  </si>
  <si>
    <t>Schwellentyp</t>
  </si>
  <si>
    <t>tipo de traviesa</t>
  </si>
  <si>
    <t>Bielstype</t>
  </si>
  <si>
    <t>Schwellenabstand</t>
  </si>
  <si>
    <t>distancia entre traviesas</t>
  </si>
  <si>
    <t>dwarsliggerverdeling</t>
  </si>
  <si>
    <t xml:space="preserve"> € / km</t>
  </si>
  <si>
    <t>€ / tonne</t>
  </si>
  <si>
    <t>€ / piece</t>
  </si>
  <si>
    <t>€ / t</t>
  </si>
  <si>
    <t xml:space="preserve"> € /tonelada</t>
  </si>
  <si>
    <t>€ / Stck</t>
  </si>
  <si>
    <t>€ / unidad</t>
  </si>
  <si>
    <t>tonnes / m</t>
  </si>
  <si>
    <t>€ / stuk</t>
  </si>
  <si>
    <t xml:space="preserve">type </t>
  </si>
  <si>
    <t>m</t>
  </si>
  <si>
    <t>(1/3 new  ballast for make-up)</t>
  </si>
  <si>
    <t>t /m</t>
  </si>
  <si>
    <t>€ / tonelada</t>
  </si>
  <si>
    <t>delivered to site and unloaded</t>
  </si>
  <si>
    <t>t / m</t>
  </si>
  <si>
    <t>Typ</t>
  </si>
  <si>
    <t>tipo</t>
  </si>
  <si>
    <t>Type</t>
  </si>
  <si>
    <t>metro</t>
  </si>
  <si>
    <t>(mit 1/3 Neusschotter)</t>
  </si>
  <si>
    <t xml:space="preserve">      (1/3 new  ballast for make-up)</t>
  </si>
  <si>
    <t>( con 1/3 de balasto nuevo)</t>
  </si>
  <si>
    <t>taken at site for disposal</t>
  </si>
  <si>
    <t>(met 1/3 Nieuwballast)</t>
  </si>
  <si>
    <t>frei Baustelle abgeladen</t>
  </si>
  <si>
    <t xml:space="preserve">      delivered to site and unloaded</t>
  </si>
  <si>
    <t>entregado franco en obra</t>
  </si>
  <si>
    <t>Back to entry sleepers without pad</t>
  </si>
  <si>
    <t xml:space="preserve">Levering vrij bouwplaats </t>
  </si>
  <si>
    <t xml:space="preserve">Profitability comparison: sleepers with pads vs. sleepers w/o pads </t>
  </si>
  <si>
    <t>€/km</t>
  </si>
  <si>
    <t>ab Baustelle entsorgen</t>
  </si>
  <si>
    <t xml:space="preserve">      taken at site for disposal</t>
  </si>
  <si>
    <t>eliminar residuos en obra</t>
  </si>
  <si>
    <t>with pad</t>
  </si>
  <si>
    <t>Vanaf bouwplaats verwijderen</t>
  </si>
  <si>
    <t>Zurück zur Eingabe unbesohlte Schwellen</t>
  </si>
  <si>
    <t>volver a introducción de datos sobre traviesas sin almohadilla</t>
  </si>
  <si>
    <t>without pad</t>
  </si>
  <si>
    <t>Terug naar Input Biels zonder fundamentlaag</t>
  </si>
  <si>
    <t>Wirtschaftlichkeitsvergleichbesohlte / unbesohlte Schwellen</t>
  </si>
  <si>
    <t>comparativa sobre rentabilidad de traviesas con o sin almohadillado</t>
  </si>
  <si>
    <t>Years</t>
  </si>
  <si>
    <t>Vergelijking van de rentabiliteit tussen bielzen zonder fundamentlaag /bielzen met elastische fundamentlaag</t>
  </si>
  <si>
    <t>Traffic factor</t>
  </si>
  <si>
    <t>besohlt</t>
  </si>
  <si>
    <t>con almohadilla</t>
  </si>
  <si>
    <t>Reduction of influence sleepers with pads vs. sleepers w/o pads</t>
  </si>
  <si>
    <t>Met fundamentlaag</t>
  </si>
  <si>
    <t>unbesohlt</t>
  </si>
  <si>
    <t>sin almohadilla</t>
  </si>
  <si>
    <t>Influence of ballast quality</t>
  </si>
  <si>
    <t>Zonder fundamentlaag</t>
  </si>
  <si>
    <t>Reduction of  ballast type influence (limestone/hard rock) by using sleeper pads</t>
  </si>
  <si>
    <r>
      <t xml:space="preserve">Verkehrsfaktor </t>
    </r>
    <r>
      <rPr>
        <sz val="12"/>
        <rFont val="Times New Roman"/>
        <family val="0"/>
      </rPr>
      <t>.....................................................................................................................................................</t>
    </r>
  </si>
  <si>
    <t>Factor transporte</t>
  </si>
  <si>
    <t>Influence of the load in LT/year</t>
  </si>
  <si>
    <r>
      <t xml:space="preserve">Verkehrsfaktor </t>
    </r>
    <r>
      <rPr>
        <sz val="12"/>
        <rFont val="Times New Roman"/>
        <family val="0"/>
      </rPr>
      <t>.</t>
    </r>
  </si>
  <si>
    <t>Verkeersfactor</t>
  </si>
  <si>
    <t>Minderung des Einflusses besohlter gegenüber unbesohlter Schwellen</t>
  </si>
  <si>
    <t xml:space="preserve">reducción de la repercusión sobre las traviesas con almohadillas respecto a las traviesas sin almohadillar </t>
  </si>
  <si>
    <t>Reduction of the influence sleepers with pads vs. sleepers w/o pads</t>
  </si>
  <si>
    <t>Verlaging van de invloed van bielzen met fundamentlaag in vergelijking met bielzen zonder fundamentlaag</t>
  </si>
  <si>
    <r>
      <t>Einfluss der Schotterqualität</t>
    </r>
    <r>
      <rPr>
        <sz val="12"/>
        <rFont val="Times New Roman"/>
        <family val="0"/>
      </rPr>
      <t xml:space="preserve"> .....................................................................................................................</t>
    </r>
  </si>
  <si>
    <t>repercusión sobre la calidad del balasto</t>
  </si>
  <si>
    <t xml:space="preserve">Ballast cleaning cycles </t>
  </si>
  <si>
    <r>
      <t>Einfluss der Schotterqualität</t>
    </r>
    <r>
      <rPr>
        <sz val="12"/>
        <rFont val="Times New Roman"/>
        <family val="0"/>
      </rPr>
      <t xml:space="preserve"> </t>
    </r>
  </si>
  <si>
    <t xml:space="preserve">Invloed van de ballastkwaliteit </t>
  </si>
  <si>
    <t>Minderung des Einflusses auf Schottersorte (Kalk- /Hartstein) bei Sohleneinsatz</t>
  </si>
  <si>
    <t>Straightening and tamping cycle</t>
  </si>
  <si>
    <t>Verlaging van de invloed op ballastsoort (kalk-/hard gesteente) met fundamentlaag</t>
  </si>
  <si>
    <t>Einfluss der Belastung in LT/Jahr ........................................................................................................................</t>
  </si>
  <si>
    <t>reemplazamiento de balasto por años</t>
  </si>
  <si>
    <t>Ballast replacement after years</t>
  </si>
  <si>
    <t>Invloed van de belasting in LT/Jaar</t>
  </si>
  <si>
    <t>reemplazamiento de traviesas según desgaste</t>
  </si>
  <si>
    <t>Sleeper replacement after wear</t>
  </si>
  <si>
    <t>Vermindering van de invloed van bielzen met fundamentlaag in vergelijking met bielzen zonder fundamentlaag</t>
  </si>
  <si>
    <r>
      <t xml:space="preserve">Reinigungszyklen für Schotter </t>
    </r>
    <r>
      <rPr>
        <sz val="12"/>
        <rFont val="Times New Roman"/>
        <family val="0"/>
      </rPr>
      <t>............................................................................................................</t>
    </r>
  </si>
  <si>
    <t>ciclos de limpieza del balasto</t>
  </si>
  <si>
    <t>Grinding after</t>
  </si>
  <si>
    <t xml:space="preserve">Reinigungszyklen für Schotter </t>
  </si>
  <si>
    <t>Tijdkring voor het reinigen van ballast</t>
  </si>
  <si>
    <r>
      <t xml:space="preserve">Richten und Stopfen  Zyklus </t>
    </r>
    <r>
      <rPr>
        <sz val="12"/>
        <rFont val="Times New Roman"/>
        <family val="0"/>
      </rPr>
      <t>.........................................................................................................................</t>
    </r>
  </si>
  <si>
    <t>ciclo de alineado y bateado</t>
  </si>
  <si>
    <t>Data input for sleepers with pads</t>
  </si>
  <si>
    <t xml:space="preserve">Richten und Stopfen  Zyklus </t>
  </si>
  <si>
    <r>
      <t xml:space="preserve">Richten en </t>
    </r>
    <r>
      <rPr>
        <sz val="11"/>
        <color indexed="10"/>
        <rFont val="Times New Roman"/>
        <family val="1"/>
      </rPr>
      <t xml:space="preserve">Stopfen </t>
    </r>
    <r>
      <rPr>
        <sz val="11"/>
        <rFont val="Times New Roman"/>
        <family val="1"/>
      </rPr>
      <t>tijdkring</t>
    </r>
  </si>
  <si>
    <r>
      <t xml:space="preserve">Schotteraustausch nach Jahren  </t>
    </r>
    <r>
      <rPr>
        <sz val="12"/>
        <rFont val="Times New Roman"/>
        <family val="0"/>
      </rPr>
      <t>....................................................................................................................</t>
    </r>
  </si>
  <si>
    <t>Wrong entry</t>
  </si>
  <si>
    <t xml:space="preserve">Schotteraustausch nach Jahren  </t>
  </si>
  <si>
    <t>Ballast uitwisseling naar Jaren</t>
  </si>
  <si>
    <r>
      <t>Schwellenaustausch nach Verschleiss</t>
    </r>
    <r>
      <rPr>
        <sz val="12"/>
        <rFont val="Times New Roman"/>
        <family val="0"/>
      </rPr>
      <t>...............................................................................................................................................................</t>
    </r>
  </si>
  <si>
    <t>xx 79</t>
  </si>
  <si>
    <t>Biels uitwisseling naar slijtage</t>
  </si>
  <si>
    <r>
      <t xml:space="preserve">Schleifen nach </t>
    </r>
    <r>
      <rPr>
        <sz val="12"/>
        <rFont val="Times New Roman"/>
        <family val="0"/>
      </rPr>
      <t>.....................................................................................................................................................</t>
    </r>
  </si>
  <si>
    <t>xx 80</t>
  </si>
  <si>
    <r>
      <t xml:space="preserve">Schleifen nach </t>
    </r>
    <r>
      <rPr>
        <sz val="12"/>
        <rFont val="Times New Roman"/>
        <family val="0"/>
      </rPr>
      <t>.</t>
    </r>
  </si>
  <si>
    <t>Slijpen naar</t>
  </si>
  <si>
    <t>Eingabe der Daten für besohlte Schwellen</t>
  </si>
  <si>
    <t xml:space="preserve">                                          Data input for sleepers with pads</t>
  </si>
  <si>
    <t xml:space="preserve">                           introducción de datos para traviesas con almohadilla</t>
  </si>
  <si>
    <t>xx 81</t>
  </si>
  <si>
    <t xml:space="preserve">                                 Eingabe der Daten für besohlte Schwellen</t>
  </si>
  <si>
    <t>Input van de Data voor Bielzen met fundamentlaag</t>
  </si>
  <si>
    <t xml:space="preserve">                            Input van de Data voor Bielzen met fundamentlaag</t>
  </si>
  <si>
    <t>Falsche Eingabe</t>
  </si>
  <si>
    <t>entrada incorrecta</t>
  </si>
  <si>
    <t>xx 82</t>
  </si>
  <si>
    <t>Verkeerde input</t>
  </si>
  <si>
    <t>Jahren</t>
  </si>
  <si>
    <t>jears</t>
  </si>
  <si>
    <t>xx 84</t>
  </si>
  <si>
    <t>xx 85</t>
  </si>
  <si>
    <t>xx 86</t>
  </si>
  <si>
    <t>xx 87</t>
  </si>
  <si>
    <t>xx 88</t>
  </si>
  <si>
    <t>xx 89</t>
  </si>
  <si>
    <t>xx 90</t>
  </si>
  <si>
    <t>de ferrocarril- Precio 2004</t>
  </si>
  <si>
    <t>Schwedisch</t>
  </si>
  <si>
    <t>Uppgifterna gäller datainformation för slipers utan USP.     (Data för slipers med USP är fixdata)</t>
  </si>
  <si>
    <t>Ballastkvalité</t>
  </si>
  <si>
    <t>Kalkstensballast</t>
  </si>
  <si>
    <t>Hårdstensballast</t>
  </si>
  <si>
    <t>Hastighet</t>
  </si>
  <si>
    <t>Persontrafik</t>
  </si>
  <si>
    <t>Trafikart</t>
  </si>
  <si>
    <t>Godstrafik</t>
  </si>
  <si>
    <t>Lastton per år</t>
  </si>
  <si>
    <t>Blandtrafik</t>
  </si>
  <si>
    <t>Rikt- och stoppningsintervall</t>
  </si>
  <si>
    <t>Millioner lastton / år</t>
  </si>
  <si>
    <t>Rälsslipning (intervall)</t>
  </si>
  <si>
    <t>År</t>
  </si>
  <si>
    <t>(Ballastförnyelse)</t>
  </si>
  <si>
    <t>Slipersbyte</t>
  </si>
  <si>
    <t>Data för Slipers med USP</t>
  </si>
  <si>
    <t>Data för Material- och tjänstekostnader</t>
  </si>
  <si>
    <t>LCC - grafik</t>
  </si>
  <si>
    <r>
      <t xml:space="preserve">Tysklandspriser </t>
    </r>
    <r>
      <rPr>
        <b/>
        <vertAlign val="superscript"/>
        <sz val="12"/>
        <rFont val="Times New Roman"/>
        <family val="1"/>
      </rPr>
      <t>1)</t>
    </r>
  </si>
  <si>
    <t xml:space="preserve">(Priser som komplettarbete </t>
  </si>
  <si>
    <t>inkl. alla pålägg osv</t>
  </si>
  <si>
    <t>som ett genomsnitt från tre tyska</t>
  </si>
  <si>
    <t>banbyggnadsfirmor - Prisbas 2004</t>
  </si>
  <si>
    <t>Riktning / Stoppning</t>
  </si>
  <si>
    <t>Slipning</t>
  </si>
  <si>
    <t>Ballastbyte</t>
  </si>
  <si>
    <t>Slipers med USP</t>
  </si>
  <si>
    <t>Slipersrenovering</t>
  </si>
  <si>
    <t>USP inkl montering</t>
  </si>
  <si>
    <t>Ballastvolym</t>
  </si>
  <si>
    <t>Sliperstyp</t>
  </si>
  <si>
    <t>Slipersavstånd</t>
  </si>
  <si>
    <t>(med 1/3 nyballast</t>
  </si>
  <si>
    <t xml:space="preserve">Fritt avlastad på byggplats </t>
  </si>
  <si>
    <t xml:space="preserve">Ta bort avfall från byggplats </t>
  </si>
  <si>
    <t>Tillbaka för att ingå i slipers utan USP</t>
  </si>
  <si>
    <t>Ekonomisk jämförelse Slipers med / utan USP</t>
  </si>
  <si>
    <t>Med USP</t>
  </si>
  <si>
    <t>Utan USP</t>
  </si>
  <si>
    <t>Minskning av inflytandet av ballastsort (Kalk- / Hårdsten) vid användande av USP</t>
  </si>
  <si>
    <t>Belastningsinflytande i lastton / år ........................................................................................................................</t>
  </si>
  <si>
    <t>Minskning av inflytandet slipers med USP kontra utan USP</t>
  </si>
  <si>
    <r>
      <t>Slipersutbyte efter förslitning</t>
    </r>
    <r>
      <rPr>
        <sz val="12"/>
        <rFont val="Times New Roman"/>
        <family val="0"/>
      </rPr>
      <t>...............................................................................................................................................................</t>
    </r>
  </si>
  <si>
    <t>Felaktig Input</t>
  </si>
  <si>
    <t xml:space="preserve"> SEK / km</t>
  </si>
  <si>
    <t xml:space="preserve"> SEK / t</t>
  </si>
  <si>
    <t xml:space="preserve"> SEK / Styck</t>
  </si>
  <si>
    <t xml:space="preserve"> SEK/ Styck</t>
  </si>
  <si>
    <t xml:space="preserve"> SEK/km</t>
  </si>
  <si>
    <t>Ballastrengöring</t>
  </si>
  <si>
    <t>Ballasutbyte</t>
  </si>
  <si>
    <t>Material- och tjänstekostnader (Tyskland)</t>
  </si>
  <si>
    <t>Slipers utan USP</t>
  </si>
  <si>
    <t>Trafikfaktor ...............................................................................................................................................................................................</t>
  </si>
  <si>
    <t>Reducering av inflytanden med och utan slipers med USP  .</t>
  </si>
  <si>
    <t>Inflytande av ballastkvalité .......................................................................................................................................................................................</t>
  </si>
  <si>
    <t>Rengöringcykel för ballast  ............................................................................................................................................................................................</t>
  </si>
  <si>
    <t>Riktnings- och stoppningscykel   .........................................................................................................................................................................................</t>
  </si>
  <si>
    <t>Ballastbyte efter åren  ....................................................................................................................................................................................................</t>
  </si>
  <si>
    <t>Slipning efter  .........................................................................................................................................................................................................</t>
  </si>
  <si>
    <t>Ange data för Slipers med USP</t>
  </si>
  <si>
    <t xml:space="preserve">       Wirtschaftlichkeitsvergleich zwischen unbesohlten Schwellen und Schwellen mit elastischer Besohlung</t>
  </si>
  <si>
    <t xml:space="preserve">Cost effectiveness comparison:  ballasted superstructures  with M &amp; R sleeper pads vs. ballasted superstructures without sleeper pads </t>
  </si>
  <si>
    <t>comparativa sobre la rentabilidad de traviesas sin y con  almohadilla elástica</t>
  </si>
  <si>
    <t xml:space="preserve"> Vergelijking van de rentabiliteit tussen bielzen zonder fundamentlaag en bielzen met elastische fundamentlaag</t>
  </si>
  <si>
    <t>Ekonomisk jämförelse mellan slipers utan USP och slipers med USP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</si>
</sst>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* #,##0_-;\-* #,##0_-;_-* &quot;-&quot;_-;_-@_-"/>
    <numFmt numFmtId="178" formatCode="_-&quot;DM&quot;\ * #,##0.00_-;\-&quot;DM&quot;\ * #,##0.00_-;_-&quot;DM&quot;\ * &quot;-&quot;??_-;_-@_-"/>
    <numFmt numFmtId="179" formatCode="_-* #,##0.00_-;\-* #,##0.00_-;_-* &quot;-&quot;??_-;_-@_-"/>
    <numFmt numFmtId="180" formatCode="#,##0.000"/>
    <numFmt numFmtId="181" formatCode="#,##0.0000"/>
    <numFmt numFmtId="182" formatCode="#,##0.00000"/>
    <numFmt numFmtId="183" formatCode="0.0"/>
    <numFmt numFmtId="184" formatCode="#,##0.0"/>
    <numFmt numFmtId="185" formatCode="0.000"/>
    <numFmt numFmtId="186" formatCode="_-* #,##0\ _D_M_-;\-* #,##0\ _D_M_-;_-* &quot;-&quot;??\ _D_M_-;_-@_-"/>
    <numFmt numFmtId="187" formatCode="_-* #,##0.0\ _D_M_-;\-* #,##0.0\ _D_M_-;_-* &quot;-&quot;??\ _D_M_-;_-@_-"/>
    <numFmt numFmtId="188" formatCode="_-* #,##0.0000\ _D_M_-;\-* #,##0.0000\ _D_M_-;_-* &quot;-&quot;??\ _D_M_-;_-@_-"/>
    <numFmt numFmtId="189" formatCode="_-* #,##0.000\ _D_M_-;\-* #,##0.000\ _D_M_-;_-* &quot;-&quot;??\ _D_M_-;_-@_-"/>
    <numFmt numFmtId="190" formatCode="_-* #,##0.00000\ _D_M_-;\-* #,##0.00000\ _D_M_-;_-* &quot;-&quot;??\ _D_M_-;_-@_-"/>
    <numFmt numFmtId="191" formatCode="0.0000"/>
    <numFmt numFmtId="192" formatCode="0.00000000"/>
    <numFmt numFmtId="193" formatCode="0.000000000"/>
    <numFmt numFmtId="194" formatCode="0.0000000000"/>
    <numFmt numFmtId="195" formatCode="0.00000000000"/>
    <numFmt numFmtId="196" formatCode="0.0000000"/>
    <numFmt numFmtId="197" formatCode="0.000000"/>
    <numFmt numFmtId="198" formatCode="0.00000"/>
    <numFmt numFmtId="199" formatCode="_-* #,##0.000"/>
    <numFmt numFmtId="200" formatCode="_-* 0"/>
    <numFmt numFmtId="201" formatCode="_-* \-"/>
    <numFmt numFmtId="202" formatCode="_0*-0"/>
    <numFmt numFmtId="203" formatCode="0*-0"/>
    <numFmt numFmtId="204" formatCode="0*0"/>
    <numFmt numFmtId="205" formatCode="0.\-"/>
    <numFmt numFmtId="206" formatCode="\-"/>
    <numFmt numFmtId="207" formatCode="\-;0"/>
    <numFmt numFmtId="208" formatCode="#,#00"/>
    <numFmt numFmtId="209" formatCode="#,#00.0"/>
    <numFmt numFmtId="210" formatCode="##,000"/>
    <numFmt numFmtId="211" formatCode="_-* 0.0"/>
    <numFmt numFmtId="212" formatCode="_-* 0.00"/>
    <numFmt numFmtId="213" formatCode="#,##0.000000"/>
  </numFmts>
  <fonts count="10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  <font>
      <sz val="9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0"/>
    </font>
    <font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sz val="10"/>
      <color indexed="9"/>
      <name val="Arial"/>
      <family val="0"/>
    </font>
    <font>
      <sz val="11"/>
      <color indexed="10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12"/>
      <color indexed="4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RotisSansSerif"/>
      <family val="2"/>
    </font>
    <font>
      <sz val="11"/>
      <color indexed="9"/>
      <name val="RotisSansSerif"/>
      <family val="2"/>
    </font>
    <font>
      <b/>
      <sz val="11"/>
      <color indexed="63"/>
      <name val="RotisSansSerif"/>
      <family val="2"/>
    </font>
    <font>
      <b/>
      <sz val="11"/>
      <color indexed="10"/>
      <name val="RotisSansSerif"/>
      <family val="2"/>
    </font>
    <font>
      <sz val="11"/>
      <color indexed="62"/>
      <name val="RotisSansSerif"/>
      <family val="2"/>
    </font>
    <font>
      <b/>
      <sz val="11"/>
      <color indexed="8"/>
      <name val="RotisSansSerif"/>
      <family val="2"/>
    </font>
    <font>
      <i/>
      <sz val="11"/>
      <color indexed="23"/>
      <name val="RotisSansSerif"/>
      <family val="2"/>
    </font>
    <font>
      <sz val="11"/>
      <color indexed="17"/>
      <name val="RotisSansSerif"/>
      <family val="2"/>
    </font>
    <font>
      <sz val="11"/>
      <color indexed="19"/>
      <name val="RotisSansSerif"/>
      <family val="2"/>
    </font>
    <font>
      <sz val="11"/>
      <color indexed="20"/>
      <name val="RotisSansSerif"/>
      <family val="2"/>
    </font>
    <font>
      <b/>
      <sz val="18"/>
      <color indexed="62"/>
      <name val="Cambria"/>
      <family val="2"/>
    </font>
    <font>
      <b/>
      <sz val="15"/>
      <color indexed="62"/>
      <name val="RotisSansSerif"/>
      <family val="2"/>
    </font>
    <font>
      <b/>
      <sz val="13"/>
      <color indexed="62"/>
      <name val="RotisSansSerif"/>
      <family val="2"/>
    </font>
    <font>
      <b/>
      <sz val="11"/>
      <color indexed="62"/>
      <name val="RotisSansSerif"/>
      <family val="2"/>
    </font>
    <font>
      <sz val="11"/>
      <color indexed="10"/>
      <name val="RotisSansSerif"/>
      <family val="2"/>
    </font>
    <font>
      <b/>
      <sz val="11"/>
      <color indexed="9"/>
      <name val="RotisSansSerif"/>
      <family val="2"/>
    </font>
    <font>
      <sz val="12"/>
      <color indexed="17"/>
      <name val="Arial"/>
      <family val="2"/>
    </font>
    <font>
      <b/>
      <sz val="9"/>
      <color indexed="17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sz val="10"/>
      <color indexed="11"/>
      <name val="Arial"/>
      <family val="2"/>
    </font>
    <font>
      <sz val="12"/>
      <color indexed="11"/>
      <name val="Arial"/>
      <family val="2"/>
    </font>
    <font>
      <sz val="12"/>
      <color indexed="11"/>
      <name val="Times New Roman"/>
      <family val="1"/>
    </font>
    <font>
      <b/>
      <sz val="12"/>
      <color indexed="11"/>
      <name val="Arial"/>
      <family val="2"/>
    </font>
    <font>
      <b/>
      <u val="single"/>
      <sz val="9"/>
      <color indexed="9"/>
      <name val="Arial"/>
      <family val="2"/>
    </font>
    <font>
      <b/>
      <sz val="16"/>
      <color indexed="8"/>
      <name val="Arial"/>
      <family val="2"/>
    </font>
    <font>
      <sz val="11"/>
      <name val="RotisSans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RotisSansSerif"/>
      <family val="2"/>
    </font>
    <font>
      <sz val="11"/>
      <color theme="0"/>
      <name val="RotisSansSerif"/>
      <family val="2"/>
    </font>
    <font>
      <b/>
      <sz val="11"/>
      <color rgb="FF3F3F3F"/>
      <name val="RotisSansSerif"/>
      <family val="2"/>
    </font>
    <font>
      <b/>
      <sz val="11"/>
      <color rgb="FFFA7D00"/>
      <name val="RotisSansSerif"/>
      <family val="2"/>
    </font>
    <font>
      <sz val="11"/>
      <color rgb="FF3F3F76"/>
      <name val="RotisSansSerif"/>
      <family val="2"/>
    </font>
    <font>
      <b/>
      <sz val="11"/>
      <color theme="1"/>
      <name val="RotisSansSerif"/>
      <family val="2"/>
    </font>
    <font>
      <i/>
      <sz val="11"/>
      <color rgb="FF7F7F7F"/>
      <name val="RotisSansSerif"/>
      <family val="2"/>
    </font>
    <font>
      <sz val="11"/>
      <color rgb="FF006100"/>
      <name val="RotisSansSerif"/>
      <family val="2"/>
    </font>
    <font>
      <sz val="11"/>
      <color rgb="FF9C6500"/>
      <name val="RotisSansSerif"/>
      <family val="2"/>
    </font>
    <font>
      <sz val="11"/>
      <color rgb="FF9C0006"/>
      <name val="RotisSansSerif"/>
      <family val="2"/>
    </font>
    <font>
      <b/>
      <sz val="18"/>
      <color theme="3"/>
      <name val="Cambria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1"/>
      <color rgb="FFFA7D00"/>
      <name val="RotisSansSerif"/>
      <family val="2"/>
    </font>
    <font>
      <sz val="11"/>
      <color rgb="FFFF0000"/>
      <name val="RotisSansSerif"/>
      <family val="2"/>
    </font>
    <font>
      <b/>
      <sz val="11"/>
      <color theme="0"/>
      <name val="RotisSansSerif"/>
      <family val="2"/>
    </font>
    <font>
      <sz val="12"/>
      <color rgb="FF00B050"/>
      <name val="Times New Roman"/>
      <family val="1"/>
    </font>
    <font>
      <sz val="12"/>
      <color rgb="FF00B050"/>
      <name val="Arial"/>
      <family val="2"/>
    </font>
    <font>
      <b/>
      <sz val="9"/>
      <color rgb="FF00B05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62CB1B"/>
      <name val="Arial"/>
      <family val="2"/>
    </font>
    <font>
      <sz val="12"/>
      <color rgb="FF62CB1B"/>
      <name val="Arial"/>
      <family val="2"/>
    </font>
    <font>
      <sz val="12"/>
      <color rgb="FF62CB1B"/>
      <name val="Times New Roman"/>
      <family val="1"/>
    </font>
    <font>
      <b/>
      <sz val="12"/>
      <color rgb="FF62CB1B"/>
      <name val="Arial"/>
      <family val="2"/>
    </font>
    <font>
      <b/>
      <sz val="9"/>
      <color theme="0"/>
      <name val="Arial"/>
      <family val="2"/>
    </font>
    <font>
      <b/>
      <sz val="9"/>
      <color theme="0"/>
      <name val="Times New Roman"/>
      <family val="1"/>
    </font>
    <font>
      <b/>
      <u val="single"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A4ED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thin"/>
      <right style="thin"/>
      <top style="thin"/>
      <bottom style="thin"/>
    </border>
    <border>
      <left style="thin"/>
      <right style="dashed">
        <color indexed="10"/>
      </right>
      <top>
        <color indexed="63"/>
      </top>
      <bottom style="hair">
        <color indexed="27"/>
      </bottom>
    </border>
    <border>
      <left>
        <color indexed="63"/>
      </left>
      <right style="dashed">
        <color indexed="10"/>
      </right>
      <top style="dashed">
        <color indexed="12"/>
      </top>
      <bottom style="dashed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155">
    <xf numFmtId="0" fontId="0" fillId="0" borderId="0" xfId="0" applyAlignment="1">
      <alignment/>
    </xf>
    <xf numFmtId="4" fontId="4" fillId="0" borderId="0" xfId="0" applyNumberFormat="1" applyFont="1" applyAlignment="1" applyProtection="1">
      <alignment/>
      <protection hidden="1"/>
    </xf>
    <xf numFmtId="1" fontId="10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4" fontId="12" fillId="0" borderId="0" xfId="0" applyNumberFormat="1" applyFont="1" applyBorder="1" applyAlignment="1" applyProtection="1">
      <alignment/>
      <protection hidden="1"/>
    </xf>
    <xf numFmtId="4" fontId="13" fillId="0" borderId="0" xfId="0" applyNumberFormat="1" applyFont="1" applyBorder="1" applyAlignment="1" applyProtection="1">
      <alignment/>
      <protection hidden="1"/>
    </xf>
    <xf numFmtId="3" fontId="14" fillId="0" borderId="10" xfId="0" applyNumberFormat="1" applyFont="1" applyBorder="1" applyAlignment="1">
      <alignment horizontal="center"/>
    </xf>
    <xf numFmtId="0" fontId="15" fillId="0" borderId="11" xfId="0" applyFont="1" applyFill="1" applyBorder="1" applyAlignment="1" applyProtection="1">
      <alignment horizontal="center" wrapText="1"/>
      <protection hidden="1"/>
    </xf>
    <xf numFmtId="4" fontId="14" fillId="0" borderId="1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17" fillId="0" borderId="12" xfId="0" applyFont="1" applyFill="1" applyBorder="1" applyAlignment="1" applyProtection="1">
      <alignment wrapText="1"/>
      <protection hidden="1"/>
    </xf>
    <xf numFmtId="4" fontId="16" fillId="0" borderId="10" xfId="0" applyNumberFormat="1" applyFont="1" applyBorder="1" applyAlignment="1">
      <alignment/>
    </xf>
    <xf numFmtId="3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17" fillId="0" borderId="0" xfId="0" applyFont="1" applyFill="1" applyAlignment="1" applyProtection="1">
      <alignment wrapText="1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7" fillId="33" borderId="12" xfId="0" applyFont="1" applyFill="1" applyBorder="1" applyAlignment="1" applyProtection="1">
      <alignment wrapText="1"/>
      <protection hidden="1"/>
    </xf>
    <xf numFmtId="3" fontId="5" fillId="0" borderId="0" xfId="0" applyNumberFormat="1" applyFont="1" applyAlignment="1">
      <alignment horizontal="center"/>
    </xf>
    <xf numFmtId="3" fontId="19" fillId="0" borderId="0" xfId="0" applyNumberFormat="1" applyFont="1" applyFill="1" applyAlignment="1" applyProtection="1">
      <alignment horizontal="center" wrapText="1"/>
      <protection hidden="1"/>
    </xf>
    <xf numFmtId="4" fontId="16" fillId="0" borderId="10" xfId="0" applyNumberFormat="1" applyFont="1" applyBorder="1" applyAlignment="1">
      <alignment vertical="center" wrapText="1"/>
    </xf>
    <xf numFmtId="0" fontId="20" fillId="0" borderId="13" xfId="0" applyFont="1" applyFill="1" applyBorder="1" applyAlignment="1" applyProtection="1">
      <alignment horizontal="left" wrapText="1"/>
      <protection hidden="1"/>
    </xf>
    <xf numFmtId="0" fontId="20" fillId="0" borderId="13" xfId="0" applyFont="1" applyFill="1" applyBorder="1" applyAlignment="1" applyProtection="1">
      <alignment wrapText="1"/>
      <protection hidden="1"/>
    </xf>
    <xf numFmtId="0" fontId="20" fillId="34" borderId="13" xfId="0" applyFont="1" applyFill="1" applyBorder="1" applyAlignment="1" applyProtection="1">
      <alignment wrapText="1"/>
      <protection hidden="1"/>
    </xf>
    <xf numFmtId="2" fontId="21" fillId="0" borderId="0" xfId="0" applyNumberFormat="1" applyFont="1" applyAlignment="1" applyProtection="1">
      <alignment horizontal="center"/>
      <protection hidden="1"/>
    </xf>
    <xf numFmtId="1" fontId="22" fillId="0" borderId="0" xfId="0" applyNumberFormat="1" applyFont="1" applyAlignment="1" applyProtection="1">
      <alignment horizontal="center"/>
      <protection hidden="1"/>
    </xf>
    <xf numFmtId="2" fontId="23" fillId="0" borderId="0" xfId="0" applyNumberFormat="1" applyFont="1" applyAlignment="1" applyProtection="1">
      <alignment horizontal="center"/>
      <protection hidden="1"/>
    </xf>
    <xf numFmtId="1" fontId="23" fillId="0" borderId="0" xfId="0" applyNumberFormat="1" applyFont="1" applyAlignment="1" applyProtection="1">
      <alignment horizontal="center"/>
      <protection hidden="1"/>
    </xf>
    <xf numFmtId="4" fontId="22" fillId="0" borderId="0" xfId="0" applyNumberFormat="1" applyFont="1" applyAlignment="1" applyProtection="1">
      <alignment/>
      <protection hidden="1"/>
    </xf>
    <xf numFmtId="4" fontId="22" fillId="0" borderId="0" xfId="0" applyNumberFormat="1" applyFont="1" applyBorder="1" applyAlignment="1" applyProtection="1">
      <alignment/>
      <protection hidden="1"/>
    </xf>
    <xf numFmtId="2" fontId="22" fillId="0" borderId="0" xfId="0" applyNumberFormat="1" applyFont="1" applyAlignment="1" applyProtection="1">
      <alignment horizontal="left"/>
      <protection hidden="1"/>
    </xf>
    <xf numFmtId="2" fontId="22" fillId="0" borderId="0" xfId="0" applyNumberFormat="1" applyFont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16" fillId="0" borderId="12" xfId="0" applyFont="1" applyFill="1" applyBorder="1" applyAlignment="1" applyProtection="1">
      <alignment wrapText="1"/>
      <protection hidden="1"/>
    </xf>
    <xf numFmtId="0" fontId="25" fillId="0" borderId="12" xfId="0" applyFont="1" applyFill="1" applyBorder="1" applyAlignment="1" applyProtection="1">
      <alignment wrapText="1"/>
      <protection hidden="1"/>
    </xf>
    <xf numFmtId="0" fontId="12" fillId="0" borderId="12" xfId="0" applyFont="1" applyFill="1" applyBorder="1" applyAlignment="1" applyProtection="1">
      <alignment wrapText="1"/>
      <protection hidden="1"/>
    </xf>
    <xf numFmtId="4" fontId="26" fillId="0" borderId="10" xfId="0" applyNumberFormat="1" applyFont="1" applyBorder="1" applyAlignment="1">
      <alignment/>
    </xf>
    <xf numFmtId="1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12" xfId="0" applyFont="1" applyFill="1" applyBorder="1" applyAlignment="1" applyProtection="1">
      <alignment horizontal="left" wrapText="1"/>
      <protection hidden="1"/>
    </xf>
    <xf numFmtId="0" fontId="29" fillId="0" borderId="12" xfId="0" applyFont="1" applyFill="1" applyBorder="1" applyAlignment="1" applyProtection="1">
      <alignment wrapText="1"/>
      <protection hidden="1"/>
    </xf>
    <xf numFmtId="1" fontId="34" fillId="0" borderId="0" xfId="0" applyNumberFormat="1" applyFont="1" applyAlignment="1" applyProtection="1">
      <alignment horizontal="center"/>
      <protection hidden="1"/>
    </xf>
    <xf numFmtId="4" fontId="4" fillId="35" borderId="0" xfId="0" applyNumberFormat="1" applyFont="1" applyFill="1" applyAlignment="1" applyProtection="1">
      <alignment/>
      <protection hidden="1"/>
    </xf>
    <xf numFmtId="4" fontId="5" fillId="35" borderId="0" xfId="0" applyNumberFormat="1" applyFont="1" applyFill="1" applyAlignment="1" applyProtection="1">
      <alignment/>
      <protection hidden="1"/>
    </xf>
    <xf numFmtId="3" fontId="4" fillId="35" borderId="0" xfId="0" applyNumberFormat="1" applyFont="1" applyFill="1" applyAlignment="1" applyProtection="1">
      <alignment horizontal="center"/>
      <protection hidden="1"/>
    </xf>
    <xf numFmtId="4" fontId="30" fillId="35" borderId="0" xfId="0" applyNumberFormat="1" applyFont="1" applyFill="1" applyAlignment="1" applyProtection="1">
      <alignment/>
      <protection hidden="1"/>
    </xf>
    <xf numFmtId="3" fontId="30" fillId="35" borderId="0" xfId="0" applyNumberFormat="1" applyFont="1" applyFill="1" applyAlignment="1" applyProtection="1">
      <alignment horizontal="center"/>
      <protection hidden="1"/>
    </xf>
    <xf numFmtId="4" fontId="11" fillId="35" borderId="0" xfId="0" applyNumberFormat="1" applyFont="1" applyFill="1" applyAlignment="1" applyProtection="1">
      <alignment/>
      <protection hidden="1"/>
    </xf>
    <xf numFmtId="4" fontId="4" fillId="35" borderId="14" xfId="0" applyNumberFormat="1" applyFont="1" applyFill="1" applyBorder="1" applyAlignment="1" applyProtection="1">
      <alignment/>
      <protection hidden="1"/>
    </xf>
    <xf numFmtId="4" fontId="33" fillId="35" borderId="15" xfId="0" applyNumberFormat="1" applyFont="1" applyFill="1" applyBorder="1" applyAlignment="1" applyProtection="1">
      <alignment horizontal="left" vertical="center"/>
      <protection hidden="1"/>
    </xf>
    <xf numFmtId="4" fontId="28" fillId="35" borderId="0" xfId="0" applyNumberFormat="1" applyFont="1" applyFill="1" applyAlignment="1" applyProtection="1">
      <alignment/>
      <protection hidden="1"/>
    </xf>
    <xf numFmtId="4" fontId="28" fillId="35" borderId="14" xfId="0" applyNumberFormat="1" applyFont="1" applyFill="1" applyBorder="1" applyAlignment="1" applyProtection="1">
      <alignment/>
      <protection hidden="1"/>
    </xf>
    <xf numFmtId="3" fontId="0" fillId="35" borderId="0" xfId="0" applyNumberFormat="1" applyFont="1" applyFill="1" applyAlignment="1" applyProtection="1">
      <alignment horizontal="left"/>
      <protection hidden="1"/>
    </xf>
    <xf numFmtId="4" fontId="0" fillId="35" borderId="0" xfId="0" applyNumberFormat="1" applyFont="1" applyFill="1" applyAlignment="1" applyProtection="1">
      <alignment/>
      <protection hidden="1"/>
    </xf>
    <xf numFmtId="3" fontId="0" fillId="35" borderId="0" xfId="0" applyNumberFormat="1" applyFont="1" applyFill="1" applyAlignment="1" applyProtection="1">
      <alignment horizontal="center"/>
      <protection hidden="1"/>
    </xf>
    <xf numFmtId="3" fontId="0" fillId="35" borderId="0" xfId="0" applyNumberFormat="1" applyFont="1" applyFill="1" applyAlignment="1" applyProtection="1">
      <alignment horizontal="center"/>
      <protection hidden="1" locked="0"/>
    </xf>
    <xf numFmtId="4" fontId="10" fillId="35" borderId="0" xfId="0" applyNumberFormat="1" applyFont="1" applyFill="1" applyAlignment="1" applyProtection="1">
      <alignment/>
      <protection hidden="1"/>
    </xf>
    <xf numFmtId="4" fontId="10" fillId="35" borderId="14" xfId="0" applyNumberFormat="1" applyFont="1" applyFill="1" applyBorder="1" applyAlignment="1" applyProtection="1">
      <alignment/>
      <protection hidden="1"/>
    </xf>
    <xf numFmtId="4" fontId="35" fillId="35" borderId="0" xfId="0" applyNumberFormat="1" applyFont="1" applyFill="1" applyAlignment="1" applyProtection="1">
      <alignment/>
      <protection hidden="1"/>
    </xf>
    <xf numFmtId="4" fontId="4" fillId="35" borderId="0" xfId="0" applyNumberFormat="1" applyFont="1" applyFill="1" applyAlignment="1" applyProtection="1">
      <alignment/>
      <protection hidden="1" locked="0"/>
    </xf>
    <xf numFmtId="0" fontId="4" fillId="35" borderId="0" xfId="0" applyFont="1" applyFill="1" applyAlignment="1" applyProtection="1">
      <alignment/>
      <protection hidden="1" locked="0"/>
    </xf>
    <xf numFmtId="3" fontId="4" fillId="35" borderId="0" xfId="0" applyNumberFormat="1" applyFont="1" applyFill="1" applyAlignment="1" applyProtection="1">
      <alignment horizontal="center"/>
      <protection hidden="1" locked="0"/>
    </xf>
    <xf numFmtId="4" fontId="4" fillId="35" borderId="0" xfId="0" applyNumberFormat="1" applyFont="1" applyFill="1" applyBorder="1" applyAlignment="1" applyProtection="1">
      <alignment/>
      <protection hidden="1"/>
    </xf>
    <xf numFmtId="2" fontId="21" fillId="35" borderId="0" xfId="0" applyNumberFormat="1" applyFont="1" applyFill="1" applyAlignment="1" applyProtection="1">
      <alignment horizontal="center"/>
      <protection hidden="1"/>
    </xf>
    <xf numFmtId="0" fontId="24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4" fontId="30" fillId="35" borderId="0" xfId="0" applyNumberFormat="1" applyFont="1" applyFill="1" applyBorder="1" applyAlignment="1" applyProtection="1">
      <alignment/>
      <protection hidden="1"/>
    </xf>
    <xf numFmtId="4" fontId="31" fillId="35" borderId="0" xfId="0" applyNumberFormat="1" applyFont="1" applyFill="1" applyBorder="1" applyAlignment="1" applyProtection="1">
      <alignment/>
      <protection hidden="1"/>
    </xf>
    <xf numFmtId="4" fontId="32" fillId="35" borderId="0" xfId="0" applyNumberFormat="1" applyFont="1" applyFill="1" applyBorder="1" applyAlignment="1" applyProtection="1">
      <alignment/>
      <protection hidden="1"/>
    </xf>
    <xf numFmtId="3" fontId="30" fillId="35" borderId="0" xfId="0" applyNumberFormat="1" applyFont="1" applyFill="1" applyBorder="1" applyAlignment="1" applyProtection="1">
      <alignment horizontal="center"/>
      <protection hidden="1"/>
    </xf>
    <xf numFmtId="4" fontId="89" fillId="35" borderId="0" xfId="0" applyNumberFormat="1" applyFont="1" applyFill="1" applyAlignment="1" applyProtection="1">
      <alignment/>
      <protection hidden="1"/>
    </xf>
    <xf numFmtId="4" fontId="90" fillId="35" borderId="0" xfId="0" applyNumberFormat="1" applyFont="1" applyFill="1" applyAlignment="1" applyProtection="1">
      <alignment/>
      <protection hidden="1"/>
    </xf>
    <xf numFmtId="4" fontId="91" fillId="0" borderId="0" xfId="0" applyNumberFormat="1" applyFont="1" applyBorder="1" applyAlignment="1" applyProtection="1">
      <alignment/>
      <protection hidden="1"/>
    </xf>
    <xf numFmtId="4" fontId="89" fillId="0" borderId="0" xfId="0" applyNumberFormat="1" applyFont="1" applyBorder="1" applyAlignment="1" applyProtection="1">
      <alignment/>
      <protection hidden="1"/>
    </xf>
    <xf numFmtId="1" fontId="40" fillId="0" borderId="0" xfId="0" applyNumberFormat="1" applyFont="1" applyAlignment="1" applyProtection="1">
      <alignment horizontal="center"/>
      <protection hidden="1"/>
    </xf>
    <xf numFmtId="2" fontId="40" fillId="0" borderId="0" xfId="0" applyNumberFormat="1" applyFont="1" applyAlignment="1" applyProtection="1">
      <alignment horizontal="left"/>
      <protection hidden="1"/>
    </xf>
    <xf numFmtId="2" fontId="40" fillId="0" borderId="0" xfId="0" applyNumberFormat="1" applyFont="1" applyAlignment="1" applyProtection="1">
      <alignment horizontal="center"/>
      <protection hidden="1"/>
    </xf>
    <xf numFmtId="2" fontId="41" fillId="0" borderId="0" xfId="0" applyNumberFormat="1" applyFont="1" applyAlignment="1" applyProtection="1">
      <alignment horizontal="center"/>
      <protection hidden="1"/>
    </xf>
    <xf numFmtId="1" fontId="41" fillId="0" borderId="0" xfId="0" applyNumberFormat="1" applyFont="1" applyAlignment="1" applyProtection="1">
      <alignment horizontal="center"/>
      <protection hidden="1"/>
    </xf>
    <xf numFmtId="4" fontId="40" fillId="0" borderId="0" xfId="0" applyNumberFormat="1" applyFont="1" applyAlignment="1" applyProtection="1">
      <alignment/>
      <protection hidden="1"/>
    </xf>
    <xf numFmtId="4" fontId="40" fillId="0" borderId="0" xfId="0" applyNumberFormat="1" applyFont="1" applyBorder="1" applyAlignment="1" applyProtection="1">
      <alignment/>
      <protection hidden="1"/>
    </xf>
    <xf numFmtId="4" fontId="32" fillId="35" borderId="0" xfId="0" applyNumberFormat="1" applyFont="1" applyFill="1" applyAlignment="1" applyProtection="1">
      <alignment/>
      <protection hidden="1"/>
    </xf>
    <xf numFmtId="0" fontId="30" fillId="35" borderId="0" xfId="0" applyFont="1" applyFill="1" applyAlignment="1" applyProtection="1">
      <alignment/>
      <protection hidden="1" locked="0"/>
    </xf>
    <xf numFmtId="3" fontId="30" fillId="35" borderId="0" xfId="0" applyNumberFormat="1" applyFont="1" applyFill="1" applyAlignment="1" applyProtection="1">
      <alignment horizontal="center"/>
      <protection hidden="1" locked="0"/>
    </xf>
    <xf numFmtId="4" fontId="32" fillId="35" borderId="0" xfId="0" applyNumberFormat="1" applyFont="1" applyFill="1" applyAlignment="1" applyProtection="1">
      <alignment/>
      <protection hidden="1" locked="0"/>
    </xf>
    <xf numFmtId="4" fontId="38" fillId="35" borderId="0" xfId="0" applyNumberFormat="1" applyFont="1" applyFill="1" applyAlignment="1" applyProtection="1">
      <alignment horizontal="center"/>
      <protection hidden="1" locked="0"/>
    </xf>
    <xf numFmtId="3" fontId="0" fillId="35" borderId="0" xfId="0" applyNumberFormat="1" applyFont="1" applyFill="1" applyAlignment="1" applyProtection="1">
      <alignment horizontal="left"/>
      <protection hidden="1" locked="0"/>
    </xf>
    <xf numFmtId="0" fontId="0" fillId="35" borderId="0" xfId="0" applyFont="1" applyFill="1" applyAlignment="1" applyProtection="1">
      <alignment/>
      <protection hidden="1"/>
    </xf>
    <xf numFmtId="4" fontId="35" fillId="35" borderId="0" xfId="0" applyNumberFormat="1" applyFont="1" applyFill="1" applyAlignment="1" applyProtection="1">
      <alignment horizontal="right"/>
      <protection hidden="1"/>
    </xf>
    <xf numFmtId="4" fontId="2" fillId="35" borderId="0" xfId="0" applyNumberFormat="1" applyFont="1" applyFill="1" applyAlignment="1" applyProtection="1">
      <alignment/>
      <protection hidden="1"/>
    </xf>
    <xf numFmtId="4" fontId="6" fillId="35" borderId="0" xfId="0" applyNumberFormat="1" applyFont="1" applyFill="1" applyAlignment="1" applyProtection="1">
      <alignment horizontal="center"/>
      <protection hidden="1"/>
    </xf>
    <xf numFmtId="4" fontId="4" fillId="35" borderId="0" xfId="0" applyNumberFormat="1" applyFont="1" applyFill="1" applyAlignment="1" applyProtection="1">
      <alignment/>
      <protection hidden="1"/>
    </xf>
    <xf numFmtId="4" fontId="36" fillId="36" borderId="0" xfId="0" applyNumberFormat="1" applyFont="1" applyFill="1" applyBorder="1" applyAlignment="1" applyProtection="1">
      <alignment horizontal="left" vertical="center"/>
      <protection hidden="1"/>
    </xf>
    <xf numFmtId="4" fontId="37" fillId="36" borderId="0" xfId="0" applyNumberFormat="1" applyFont="1" applyFill="1" applyBorder="1" applyAlignment="1" applyProtection="1">
      <alignment vertical="center"/>
      <protection hidden="1"/>
    </xf>
    <xf numFmtId="4" fontId="30" fillId="36" borderId="0" xfId="0" applyNumberFormat="1" applyFont="1" applyFill="1" applyBorder="1" applyAlignment="1" applyProtection="1">
      <alignment/>
      <protection hidden="1"/>
    </xf>
    <xf numFmtId="3" fontId="30" fillId="36" borderId="0" xfId="0" applyNumberFormat="1" applyFont="1" applyFill="1" applyBorder="1" applyAlignment="1" applyProtection="1">
      <alignment horizontal="center"/>
      <protection hidden="1"/>
    </xf>
    <xf numFmtId="1" fontId="10" fillId="35" borderId="0" xfId="0" applyNumberFormat="1" applyFont="1" applyFill="1" applyAlignment="1" applyProtection="1">
      <alignment horizontal="center"/>
      <protection hidden="1"/>
    </xf>
    <xf numFmtId="4" fontId="11" fillId="36" borderId="0" xfId="0" applyNumberFormat="1" applyFont="1" applyFill="1" applyBorder="1" applyAlignment="1" applyProtection="1">
      <alignment horizontal="left" vertical="center"/>
      <protection hidden="1"/>
    </xf>
    <xf numFmtId="4" fontId="39" fillId="35" borderId="0" xfId="0" applyNumberFormat="1" applyFont="1" applyFill="1" applyAlignment="1" applyProtection="1">
      <alignment/>
      <protection hidden="1"/>
    </xf>
    <xf numFmtId="4" fontId="32" fillId="35" borderId="0" xfId="0" applyNumberFormat="1" applyFont="1" applyFill="1" applyAlignment="1" applyProtection="1">
      <alignment horizontal="left"/>
      <protection hidden="1"/>
    </xf>
    <xf numFmtId="4" fontId="30" fillId="35" borderId="0" xfId="0" applyNumberFormat="1" applyFont="1" applyFill="1" applyAlignment="1" applyProtection="1">
      <alignment/>
      <protection hidden="1" locked="0"/>
    </xf>
    <xf numFmtId="3" fontId="38" fillId="35" borderId="0" xfId="0" applyNumberFormat="1" applyFont="1" applyFill="1" applyAlignment="1" applyProtection="1">
      <alignment horizontal="center"/>
      <protection hidden="1" locked="0"/>
    </xf>
    <xf numFmtId="4" fontId="30" fillId="35" borderId="0" xfId="0" applyNumberFormat="1" applyFont="1" applyFill="1" applyAlignment="1" applyProtection="1">
      <alignment horizontal="center"/>
      <protection hidden="1" locked="0"/>
    </xf>
    <xf numFmtId="4" fontId="30" fillId="35" borderId="0" xfId="0" applyNumberFormat="1" applyFont="1" applyFill="1" applyAlignment="1" applyProtection="1">
      <alignment horizontal="center"/>
      <protection hidden="1"/>
    </xf>
    <xf numFmtId="3" fontId="35" fillId="35" borderId="0" xfId="0" applyNumberFormat="1" applyFont="1" applyFill="1" applyAlignment="1" applyProtection="1">
      <alignment horizontal="center"/>
      <protection hidden="1"/>
    </xf>
    <xf numFmtId="2" fontId="92" fillId="0" borderId="0" xfId="0" applyNumberFormat="1" applyFont="1" applyAlignment="1" applyProtection="1">
      <alignment horizontal="center"/>
      <protection hidden="1"/>
    </xf>
    <xf numFmtId="2" fontId="93" fillId="0" borderId="0" xfId="0" applyNumberFormat="1" applyFont="1" applyAlignment="1" applyProtection="1">
      <alignment horizontal="center"/>
      <protection hidden="1"/>
    </xf>
    <xf numFmtId="4" fontId="94" fillId="35" borderId="0" xfId="0" applyNumberFormat="1" applyFont="1" applyFill="1" applyAlignment="1" applyProtection="1">
      <alignment/>
      <protection hidden="1"/>
    </xf>
    <xf numFmtId="4" fontId="95" fillId="35" borderId="0" xfId="0" applyNumberFormat="1" applyFont="1" applyFill="1" applyAlignment="1" applyProtection="1">
      <alignment/>
      <protection hidden="1"/>
    </xf>
    <xf numFmtId="3" fontId="95" fillId="35" borderId="0" xfId="0" applyNumberFormat="1" applyFont="1" applyFill="1" applyAlignment="1" applyProtection="1">
      <alignment horizontal="center"/>
      <protection hidden="1"/>
    </xf>
    <xf numFmtId="4" fontId="96" fillId="35" borderId="0" xfId="0" applyNumberFormat="1" applyFont="1" applyFill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4" fontId="97" fillId="35" borderId="0" xfId="0" applyNumberFormat="1" applyFont="1" applyFill="1" applyAlignment="1" applyProtection="1">
      <alignment horizontal="center"/>
      <protection hidden="1"/>
    </xf>
    <xf numFmtId="0" fontId="98" fillId="0" borderId="0" xfId="0" applyFont="1" applyAlignment="1">
      <alignment/>
    </xf>
    <xf numFmtId="1" fontId="99" fillId="0" borderId="0" xfId="0" applyNumberFormat="1" applyFont="1" applyAlignment="1" applyProtection="1">
      <alignment horizontal="center"/>
      <protection hidden="1"/>
    </xf>
    <xf numFmtId="1" fontId="99" fillId="0" borderId="0" xfId="0" applyNumberFormat="1" applyFont="1" applyAlignment="1" applyProtection="1">
      <alignment horizontal="left"/>
      <protection hidden="1"/>
    </xf>
    <xf numFmtId="1" fontId="99" fillId="0" borderId="0" xfId="0" applyNumberFormat="1" applyFont="1" applyAlignment="1" applyProtection="1">
      <alignment horizontal="right"/>
      <protection hidden="1"/>
    </xf>
    <xf numFmtId="2" fontId="98" fillId="0" borderId="0" xfId="0" applyNumberFormat="1" applyFont="1" applyAlignment="1" applyProtection="1">
      <alignment horizontal="center"/>
      <protection hidden="1"/>
    </xf>
    <xf numFmtId="1" fontId="98" fillId="0" borderId="0" xfId="0" applyNumberFormat="1" applyFont="1" applyAlignment="1" applyProtection="1">
      <alignment horizontal="center"/>
      <protection hidden="1"/>
    </xf>
    <xf numFmtId="4" fontId="99" fillId="0" borderId="0" xfId="0" applyNumberFormat="1" applyFont="1" applyAlignment="1" applyProtection="1">
      <alignment/>
      <protection hidden="1"/>
    </xf>
    <xf numFmtId="4" fontId="99" fillId="0" borderId="0" xfId="0" applyNumberFormat="1" applyFont="1" applyBorder="1" applyAlignment="1" applyProtection="1">
      <alignment/>
      <protection hidden="1"/>
    </xf>
    <xf numFmtId="3" fontId="99" fillId="0" borderId="0" xfId="0" applyNumberFormat="1" applyFont="1" applyBorder="1" applyAlignment="1" applyProtection="1">
      <alignment horizontal="center"/>
      <protection hidden="1"/>
    </xf>
    <xf numFmtId="2" fontId="98" fillId="0" borderId="0" xfId="0" applyNumberFormat="1" applyFont="1" applyAlignment="1" applyProtection="1">
      <alignment horizontal="left"/>
      <protection hidden="1"/>
    </xf>
    <xf numFmtId="0" fontId="98" fillId="0" borderId="0" xfId="0" applyFont="1" applyAlignment="1">
      <alignment horizontal="center"/>
    </xf>
    <xf numFmtId="1" fontId="98" fillId="0" borderId="0" xfId="0" applyNumberFormat="1" applyFont="1" applyAlignment="1" applyProtection="1">
      <alignment horizontal="left"/>
      <protection hidden="1"/>
    </xf>
    <xf numFmtId="0" fontId="98" fillId="0" borderId="0" xfId="0" applyFont="1" applyAlignment="1" applyProtection="1">
      <alignment/>
      <protection hidden="1"/>
    </xf>
    <xf numFmtId="1" fontId="98" fillId="0" borderId="0" xfId="0" applyNumberFormat="1" applyFont="1" applyBorder="1" applyAlignment="1" applyProtection="1">
      <alignment horizontal="left"/>
      <protection hidden="1"/>
    </xf>
    <xf numFmtId="2" fontId="100" fillId="0" borderId="0" xfId="0" applyNumberFormat="1" applyFont="1" applyBorder="1" applyAlignment="1" applyProtection="1">
      <alignment horizontal="left"/>
      <protection hidden="1"/>
    </xf>
    <xf numFmtId="1" fontId="98" fillId="0" borderId="0" xfId="0" applyNumberFormat="1" applyFont="1" applyBorder="1" applyAlignment="1" applyProtection="1">
      <alignment horizontal="center"/>
      <protection hidden="1"/>
    </xf>
    <xf numFmtId="2" fontId="98" fillId="0" borderId="0" xfId="0" applyNumberFormat="1" applyFont="1" applyBorder="1" applyAlignment="1" applyProtection="1">
      <alignment horizontal="center"/>
      <protection hidden="1"/>
    </xf>
    <xf numFmtId="1" fontId="98" fillId="0" borderId="16" xfId="0" applyNumberFormat="1" applyFont="1" applyBorder="1" applyAlignment="1" applyProtection="1">
      <alignment horizontal="center"/>
      <protection hidden="1"/>
    </xf>
    <xf numFmtId="0" fontId="98" fillId="0" borderId="0" xfId="0" applyFont="1" applyAlignment="1" applyProtection="1">
      <alignment horizontal="left"/>
      <protection hidden="1"/>
    </xf>
    <xf numFmtId="0" fontId="98" fillId="0" borderId="0" xfId="0" applyFont="1" applyBorder="1" applyAlignment="1" applyProtection="1">
      <alignment horizontal="center"/>
      <protection hidden="1"/>
    </xf>
    <xf numFmtId="4" fontId="99" fillId="0" borderId="0" xfId="0" applyNumberFormat="1" applyFont="1" applyBorder="1" applyAlignment="1" applyProtection="1">
      <alignment/>
      <protection hidden="1" locked="0"/>
    </xf>
    <xf numFmtId="3" fontId="99" fillId="0" borderId="0" xfId="0" applyNumberFormat="1" applyFont="1" applyBorder="1" applyAlignment="1" applyProtection="1">
      <alignment horizontal="center"/>
      <protection hidden="1" locked="0"/>
    </xf>
    <xf numFmtId="0" fontId="98" fillId="0" borderId="0" xfId="0" applyFont="1" applyBorder="1" applyAlignment="1" applyProtection="1">
      <alignment horizontal="centerContinuous"/>
      <protection hidden="1"/>
    </xf>
    <xf numFmtId="3" fontId="98" fillId="0" borderId="0" xfId="0" applyNumberFormat="1" applyFont="1" applyBorder="1" applyAlignment="1" applyProtection="1">
      <alignment horizontal="center"/>
      <protection hidden="1"/>
    </xf>
    <xf numFmtId="4" fontId="98" fillId="0" borderId="0" xfId="0" applyNumberFormat="1" applyFont="1" applyBorder="1" applyAlignment="1" applyProtection="1">
      <alignment horizontal="center"/>
      <protection hidden="1"/>
    </xf>
    <xf numFmtId="0" fontId="98" fillId="0" borderId="0" xfId="0" applyFont="1" applyBorder="1" applyAlignment="1" applyProtection="1">
      <alignment/>
      <protection hidden="1"/>
    </xf>
    <xf numFmtId="0" fontId="99" fillId="0" borderId="0" xfId="0" applyFont="1" applyAlignment="1" applyProtection="1">
      <alignment horizontal="left"/>
      <protection hidden="1"/>
    </xf>
    <xf numFmtId="0" fontId="99" fillId="0" borderId="0" xfId="0" applyFont="1" applyAlignment="1" applyProtection="1">
      <alignment/>
      <protection hidden="1"/>
    </xf>
    <xf numFmtId="2" fontId="99" fillId="0" borderId="0" xfId="0" applyNumberFormat="1" applyFont="1" applyAlignment="1" applyProtection="1">
      <alignment horizontal="left"/>
      <protection hidden="1"/>
    </xf>
    <xf numFmtId="2" fontId="99" fillId="0" borderId="0" xfId="0" applyNumberFormat="1" applyFont="1" applyAlignment="1" applyProtection="1">
      <alignment horizontal="center"/>
      <protection hidden="1"/>
    </xf>
    <xf numFmtId="4" fontId="98" fillId="0" borderId="0" xfId="0" applyNumberFormat="1" applyFont="1" applyBorder="1" applyAlignment="1" applyProtection="1">
      <alignment/>
      <protection hidden="1"/>
    </xf>
    <xf numFmtId="1" fontId="100" fillId="0" borderId="0" xfId="0" applyNumberFormat="1" applyFont="1" applyBorder="1" applyAlignment="1" applyProtection="1">
      <alignment horizontal="left"/>
      <protection hidden="1"/>
    </xf>
    <xf numFmtId="2" fontId="98" fillId="0" borderId="0" xfId="0" applyNumberFormat="1" applyFont="1" applyBorder="1" applyAlignment="1" applyProtection="1">
      <alignment horizontal="centerContinuous"/>
      <protection hidden="1"/>
    </xf>
    <xf numFmtId="1" fontId="98" fillId="0" borderId="0" xfId="0" applyNumberFormat="1" applyFont="1" applyBorder="1" applyAlignment="1" applyProtection="1">
      <alignment horizontal="centerContinuous"/>
      <protection hidden="1"/>
    </xf>
    <xf numFmtId="4" fontId="32" fillId="36" borderId="0" xfId="0" applyNumberFormat="1" applyFont="1" applyFill="1" applyBorder="1" applyAlignment="1" applyProtection="1">
      <alignment horizontal="center" vertical="center" wrapText="1"/>
      <protection hidden="1"/>
    </xf>
    <xf numFmtId="2" fontId="101" fillId="0" borderId="0" xfId="0" applyNumberFormat="1" applyFont="1" applyAlignment="1" applyProtection="1">
      <alignment horizontal="center"/>
      <protection hidden="1"/>
    </xf>
    <xf numFmtId="0" fontId="98" fillId="0" borderId="0" xfId="0" applyFont="1" applyAlignment="1" applyProtection="1">
      <alignment horizontal="center"/>
      <protection hidden="1"/>
    </xf>
    <xf numFmtId="2" fontId="101" fillId="35" borderId="0" xfId="0" applyNumberFormat="1" applyFont="1" applyFill="1" applyAlignment="1" applyProtection="1">
      <alignment horizontal="center"/>
      <protection hidden="1"/>
    </xf>
    <xf numFmtId="0" fontId="102" fillId="35" borderId="0" xfId="0" applyFont="1" applyFill="1" applyAlignment="1" applyProtection="1">
      <alignment/>
      <protection hidden="1"/>
    </xf>
    <xf numFmtId="0" fontId="102" fillId="35" borderId="0" xfId="0" applyFont="1" applyFill="1" applyBorder="1" applyAlignment="1" applyProtection="1">
      <alignment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Wirtschaftlichkeitsvergleich - besohlte und unbesohlte Schwellen
Cost effectiveness comparison: sleepers with pads vs. sleepers w/o pads</a:t>
            </a:r>
          </a:p>
        </c:rich>
      </c:tx>
      <c:layout>
        <c:manualLayout>
          <c:xMode val="factor"/>
          <c:yMode val="factor"/>
          <c:x val="-0.036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075"/>
          <c:w val="0.836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 Vergleich Sohlen'!$AZ$13:$AZ$73</c:f>
              <c:numCache/>
            </c:numRef>
          </c:cat>
          <c:val>
            <c:numRef>
              <c:f>'W Vergleich Sohlen'!$BA$13:$BA$73</c:f>
              <c:numCache/>
            </c:numRef>
          </c: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 Vergleich Sohlen'!$AZ$13:$AZ$73</c:f>
              <c:numCache/>
            </c:numRef>
          </c:cat>
          <c:val>
            <c:numRef>
              <c:f>'W Vergleich Sohlen'!$BB$13:$BB$73</c:f>
              <c:numCache/>
            </c:numRef>
          </c:val>
          <c:smooth val="1"/>
        </c:ser>
        <c:marker val="1"/>
        <c:axId val="46099035"/>
        <c:axId val="12238132"/>
      </c:lineChart>
      <c:cat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8132"/>
        <c:crosses val="autoZero"/>
        <c:auto val="0"/>
        <c:lblOffset val="100"/>
        <c:tickLblSkip val="3"/>
        <c:noMultiLvlLbl val="0"/>
      </c:cat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€ / km</a:t>
                </a:r>
              </a:p>
            </c:rich>
          </c:tx>
          <c:layout>
            <c:manualLayout>
              <c:xMode val="factor"/>
              <c:yMode val="factor"/>
              <c:x val="-0.001"/>
              <c:y val="0.0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482"/>
          <c:w val="0.10025"/>
          <c:h val="0.10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8925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 Vergleich Sohlen'!$AZ$13:$AZ$19</c:f>
              <c:numCache/>
            </c:numRef>
          </c:cat>
          <c:val>
            <c:numRef>
              <c:f>'W Vergleich Sohlen'!$BA$13:$BA$19</c:f>
              <c:numCache/>
            </c:numRef>
          </c: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 Vergleich Sohlen'!$AZ$13:$AZ$19</c:f>
              <c:numCache/>
            </c:numRef>
          </c:cat>
          <c:val>
            <c:numRef>
              <c:f>'W Vergleich Sohlen'!$BB$13:$BB$19</c:f>
              <c:numCache/>
            </c:numRef>
          </c:val>
          <c:smooth val="1"/>
        </c:ser>
        <c:marker val="1"/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 val="autoZero"/>
        <c:auto val="0"/>
        <c:lblOffset val="100"/>
        <c:tickLblSkip val="1"/>
        <c:noMultiLvlLbl val="0"/>
      </c:catAx>
      <c:valAx>
        <c:axId val="51764606"/>
        <c:scaling>
          <c:orientation val="minMax"/>
        </c:scaling>
        <c:axPos val="l"/>
        <c:delete val="1"/>
        <c:majorTickMark val="out"/>
        <c:minorTickMark val="none"/>
        <c:tickLblPos val="none"/>
        <c:crossAx val="430343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185</xdr:row>
      <xdr:rowOff>142875</xdr:rowOff>
    </xdr:from>
    <xdr:to>
      <xdr:col>26</xdr:col>
      <xdr:colOff>657225</xdr:colOff>
      <xdr:row>188</xdr:row>
      <xdr:rowOff>152400</xdr:rowOff>
    </xdr:to>
    <xdr:sp>
      <xdr:nvSpPr>
        <xdr:cNvPr id="1" name="Text 21"/>
        <xdr:cNvSpPr>
          <a:spLocks/>
        </xdr:cNvSpPr>
      </xdr:nvSpPr>
      <xdr:spPr>
        <a:xfrm>
          <a:off x="11963400" y="37899975"/>
          <a:ext cx="6410325" cy="609600"/>
        </a:xfrm>
        <a:prstGeom prst="roundRect">
          <a:avLst/>
        </a:prstGeom>
        <a:solidFill>
          <a:srgbClr val="4AA8E2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for dates from sleepers with sleeperpads</a:t>
          </a:r>
        </a:p>
      </xdr:txBody>
    </xdr:sp>
    <xdr:clientData/>
  </xdr:twoCellAnchor>
  <xdr:twoCellAnchor>
    <xdr:from>
      <xdr:col>0</xdr:col>
      <xdr:colOff>180975</xdr:colOff>
      <xdr:row>45</xdr:row>
      <xdr:rowOff>152400</xdr:rowOff>
    </xdr:from>
    <xdr:to>
      <xdr:col>11</xdr:col>
      <xdr:colOff>828675</xdr:colOff>
      <xdr:row>69</xdr:row>
      <xdr:rowOff>57150</xdr:rowOff>
    </xdr:to>
    <xdr:graphicFrame>
      <xdr:nvGraphicFramePr>
        <xdr:cNvPr id="2" name="Chart 24"/>
        <xdr:cNvGraphicFramePr/>
      </xdr:nvGraphicFramePr>
      <xdr:xfrm>
        <a:off x="180975" y="10001250"/>
        <a:ext cx="83534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58</xdr:row>
      <xdr:rowOff>38100</xdr:rowOff>
    </xdr:from>
    <xdr:to>
      <xdr:col>11</xdr:col>
      <xdr:colOff>819150</xdr:colOff>
      <xdr:row>61</xdr:row>
      <xdr:rowOff>38100</xdr:rowOff>
    </xdr:to>
    <xdr:sp>
      <xdr:nvSpPr>
        <xdr:cNvPr id="3" name="Text 25"/>
        <xdr:cNvSpPr txBox="1">
          <a:spLocks noChangeArrowheads="1"/>
        </xdr:cNvSpPr>
      </xdr:nvSpPr>
      <xdr:spPr>
        <a:xfrm>
          <a:off x="7762875" y="12487275"/>
          <a:ext cx="76200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unbesohlt without pad</a:t>
          </a:r>
        </a:p>
      </xdr:txBody>
    </xdr:sp>
    <xdr:clientData/>
  </xdr:twoCellAnchor>
  <xdr:twoCellAnchor>
    <xdr:from>
      <xdr:col>11</xdr:col>
      <xdr:colOff>47625</xdr:colOff>
      <xdr:row>56</xdr:row>
      <xdr:rowOff>57150</xdr:rowOff>
    </xdr:from>
    <xdr:to>
      <xdr:col>11</xdr:col>
      <xdr:colOff>762000</xdr:colOff>
      <xdr:row>58</xdr:row>
      <xdr:rowOff>0</xdr:rowOff>
    </xdr:to>
    <xdr:sp>
      <xdr:nvSpPr>
        <xdr:cNvPr id="4" name="Text 26"/>
        <xdr:cNvSpPr txBox="1">
          <a:spLocks noChangeArrowheads="1"/>
        </xdr:cNvSpPr>
      </xdr:nvSpPr>
      <xdr:spPr>
        <a:xfrm>
          <a:off x="7753350" y="12106275"/>
          <a:ext cx="7143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besohlt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with pad</a:t>
          </a:r>
        </a:p>
      </xdr:txBody>
    </xdr:sp>
    <xdr:clientData/>
  </xdr:twoCellAnchor>
  <xdr:twoCellAnchor>
    <xdr:from>
      <xdr:col>2</xdr:col>
      <xdr:colOff>1276350</xdr:colOff>
      <xdr:row>50</xdr:row>
      <xdr:rowOff>19050</xdr:rowOff>
    </xdr:from>
    <xdr:to>
      <xdr:col>4</xdr:col>
      <xdr:colOff>1009650</xdr:colOff>
      <xdr:row>57</xdr:row>
      <xdr:rowOff>66675</xdr:rowOff>
    </xdr:to>
    <xdr:graphicFrame>
      <xdr:nvGraphicFramePr>
        <xdr:cNvPr id="5" name="Chart 27"/>
        <xdr:cNvGraphicFramePr/>
      </xdr:nvGraphicFramePr>
      <xdr:xfrm>
        <a:off x="1695450" y="10868025"/>
        <a:ext cx="1962150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57150</xdr:colOff>
      <xdr:row>8</xdr:row>
      <xdr:rowOff>66675</xdr:rowOff>
    </xdr:from>
    <xdr:to>
      <xdr:col>10</xdr:col>
      <xdr:colOff>352425</xdr:colOff>
      <xdr:row>9</xdr:row>
      <xdr:rowOff>28575</xdr:rowOff>
    </xdr:to>
    <xdr:pic>
      <xdr:nvPicPr>
        <xdr:cNvPr id="6" name="Bild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1905000"/>
          <a:ext cx="2952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381000</xdr:colOff>
      <xdr:row>8</xdr:row>
      <xdr:rowOff>66675</xdr:rowOff>
    </xdr:from>
    <xdr:to>
      <xdr:col>10</xdr:col>
      <xdr:colOff>676275</xdr:colOff>
      <xdr:row>9</xdr:row>
      <xdr:rowOff>38100</xdr:rowOff>
    </xdr:to>
    <xdr:pic>
      <xdr:nvPicPr>
        <xdr:cNvPr id="7" name="Bild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1905000"/>
          <a:ext cx="2952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M223"/>
  <sheetViews>
    <sheetView showGridLines="0" tabSelected="1" zoomScale="135" zoomScaleNormal="135" zoomScalePageLayoutView="0" workbookViewId="0" topLeftCell="A1">
      <selection activeCell="O23" sqref="O23"/>
    </sheetView>
  </sheetViews>
  <sheetFormatPr defaultColWidth="11.421875" defaultRowHeight="12.75"/>
  <cols>
    <col min="1" max="1" width="4.28125" style="1" customWidth="1"/>
    <col min="2" max="2" width="2.00390625" style="1" customWidth="1"/>
    <col min="3" max="3" width="29.00390625" style="5" customWidth="1"/>
    <col min="4" max="4" width="4.421875" style="1" customWidth="1"/>
    <col min="5" max="5" width="20.00390625" style="1" customWidth="1"/>
    <col min="6" max="6" width="0.9921875" style="1" customWidth="1"/>
    <col min="7" max="7" width="4.421875" style="1" customWidth="1"/>
    <col min="8" max="8" width="20.00390625" style="1" customWidth="1"/>
    <col min="9" max="9" width="7.421875" style="3" customWidth="1"/>
    <col min="10" max="10" width="10.7109375" style="1" customWidth="1"/>
    <col min="11" max="11" width="12.28125" style="1" customWidth="1"/>
    <col min="12" max="12" width="13.00390625" style="1" customWidth="1"/>
    <col min="13" max="13" width="6.7109375" style="2" customWidth="1"/>
    <col min="14" max="14" width="6.7109375" style="26" customWidth="1"/>
    <col min="15" max="15" width="11.7109375" style="39" customWidth="1"/>
    <col min="16" max="16" width="6.7109375" style="27" customWidth="1"/>
    <col min="17" max="17" width="17.140625" style="27" customWidth="1"/>
    <col min="18" max="18" width="11.57421875" style="32" customWidth="1"/>
    <col min="19" max="19" width="11.57421875" style="33" customWidth="1"/>
    <col min="20" max="26" width="9.28125" style="28" customWidth="1"/>
    <col min="27" max="28" width="11.421875" style="28" customWidth="1"/>
    <col min="29" max="29" width="11.421875" style="29" customWidth="1"/>
    <col min="30" max="32" width="11.421875" style="30" customWidth="1"/>
    <col min="33" max="141" width="11.421875" style="31" customWidth="1"/>
    <col min="142" max="143" width="11.421875" style="18" customWidth="1"/>
    <col min="144" max="255" width="11.421875" style="7" customWidth="1"/>
    <col min="256" max="16384" width="11.421875" style="6" customWidth="1"/>
  </cols>
  <sheetData>
    <row r="1" spans="1:61" ht="6" customHeight="1">
      <c r="A1" s="68" t="s">
        <v>0</v>
      </c>
      <c r="B1" s="69"/>
      <c r="C1" s="70"/>
      <c r="D1" s="68"/>
      <c r="E1" s="68"/>
      <c r="F1" s="68"/>
      <c r="G1" s="68"/>
      <c r="H1" s="68"/>
      <c r="I1" s="71"/>
      <c r="J1" s="68"/>
      <c r="K1" s="68"/>
      <c r="L1" s="68"/>
      <c r="M1" s="64"/>
      <c r="P1" s="115"/>
      <c r="Q1" s="116"/>
      <c r="R1" s="117" t="s">
        <v>1</v>
      </c>
      <c r="S1" s="118"/>
      <c r="T1" s="118"/>
      <c r="U1" s="119"/>
      <c r="V1" s="119"/>
      <c r="W1" s="119"/>
      <c r="X1" s="119"/>
      <c r="Y1" s="119"/>
      <c r="Z1" s="119"/>
      <c r="AA1" s="119"/>
      <c r="AB1" s="119"/>
      <c r="AC1" s="120"/>
      <c r="AD1" s="121"/>
      <c r="AE1" s="121"/>
      <c r="AF1" s="121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3"/>
    </row>
    <row r="2" spans="1:108" ht="40.5" customHeight="1">
      <c r="A2" s="68"/>
      <c r="B2" s="149" t="str">
        <f>Begriffe!B4</f>
        <v>       Wirtschaftlichkeitsvergleich zwischen unbesohlten Schwellen und Schwellen mit elastischer Besohlung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64"/>
      <c r="N2" s="150"/>
      <c r="O2" s="151" t="b">
        <v>0</v>
      </c>
      <c r="P2" s="120">
        <f>IF(O2=TRUE,1,0)</f>
        <v>0</v>
      </c>
      <c r="Q2" s="120">
        <f>IF(P2=1,R2,0)</f>
        <v>0</v>
      </c>
      <c r="R2" s="124" t="s">
        <v>2</v>
      </c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  <c r="AD2" s="121"/>
      <c r="AE2" s="121"/>
      <c r="AF2" s="121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3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</row>
    <row r="3" spans="1:108" ht="19.5" customHeight="1">
      <c r="A3" s="44"/>
      <c r="B3" s="44"/>
      <c r="C3" s="45"/>
      <c r="D3" s="44"/>
      <c r="E3" s="44"/>
      <c r="F3" s="44"/>
      <c r="G3" s="44"/>
      <c r="H3" s="44"/>
      <c r="I3" s="46"/>
      <c r="J3" s="44"/>
      <c r="K3" s="44"/>
      <c r="L3" s="44"/>
      <c r="M3" s="44"/>
      <c r="N3" s="152"/>
      <c r="O3" s="120" t="b">
        <v>1</v>
      </c>
      <c r="P3" s="120">
        <f>IF(O3=TRUE,1,0)</f>
        <v>1</v>
      </c>
      <c r="Q3" s="120" t="str">
        <f>IF(P3=1,R3,0)</f>
        <v>Englisch</v>
      </c>
      <c r="R3" s="124" t="s">
        <v>3</v>
      </c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  <c r="AD3" s="121"/>
      <c r="AE3" s="121"/>
      <c r="AF3" s="121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3"/>
      <c r="BJ3" s="122"/>
      <c r="BK3" s="122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</row>
    <row r="4" spans="1:143" s="75" customFormat="1" ht="27.75" customHeight="1">
      <c r="A4" s="72"/>
      <c r="B4" s="73"/>
      <c r="C4" s="109" t="str">
        <f>Begriffe!B5</f>
        <v>Die Eingaben betreffen Datenvorgaben für unbesohlte Schwellen (Daten für besohlte Schwellen sind Fixdaten)</v>
      </c>
      <c r="D4" s="110"/>
      <c r="E4" s="110"/>
      <c r="F4" s="110"/>
      <c r="G4" s="110"/>
      <c r="H4" s="110"/>
      <c r="I4" s="111"/>
      <c r="J4" s="110"/>
      <c r="K4" s="112"/>
      <c r="L4" s="72"/>
      <c r="M4" s="72"/>
      <c r="N4" s="153"/>
      <c r="O4" s="151" t="s">
        <v>4</v>
      </c>
      <c r="P4" s="125">
        <f>IF(P5=1,1,0)</f>
        <v>1</v>
      </c>
      <c r="Q4" s="120"/>
      <c r="R4" s="126" t="s">
        <v>5</v>
      </c>
      <c r="S4" s="11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1"/>
      <c r="AE4" s="121"/>
      <c r="AF4" s="121"/>
      <c r="AG4" s="122"/>
      <c r="AH4" s="128"/>
      <c r="AI4" s="129" t="s">
        <v>6</v>
      </c>
      <c r="AJ4" s="130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0"/>
      <c r="AY4" s="130"/>
      <c r="AZ4" s="130"/>
      <c r="BA4" s="130"/>
      <c r="BB4" s="130"/>
      <c r="BC4" s="122"/>
      <c r="BD4" s="122"/>
      <c r="BE4" s="122"/>
      <c r="BF4" s="122"/>
      <c r="BG4" s="122"/>
      <c r="BH4" s="122"/>
      <c r="BI4" s="123"/>
      <c r="BJ4" s="122"/>
      <c r="BK4" s="122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</row>
    <row r="5" spans="1:108" ht="16.5" thickBot="1">
      <c r="A5" s="44"/>
      <c r="B5" s="44"/>
      <c r="C5" s="45"/>
      <c r="D5" s="44"/>
      <c r="E5" s="44"/>
      <c r="F5" s="44"/>
      <c r="G5" s="44"/>
      <c r="H5" s="44"/>
      <c r="I5" s="46"/>
      <c r="J5" s="44"/>
      <c r="K5" s="44"/>
      <c r="L5" s="44"/>
      <c r="M5" s="44"/>
      <c r="N5" s="153"/>
      <c r="O5" s="151" t="s">
        <v>7</v>
      </c>
      <c r="P5" s="120">
        <f>SUM(P2:P3)</f>
        <v>1</v>
      </c>
      <c r="Q5" s="120"/>
      <c r="R5" s="126" t="s">
        <v>8</v>
      </c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1"/>
      <c r="AE5" s="121"/>
      <c r="AF5" s="121"/>
      <c r="AG5" s="122"/>
      <c r="AH5" s="130"/>
      <c r="AI5" s="131"/>
      <c r="AJ5" s="130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0"/>
      <c r="AY5" s="130"/>
      <c r="AZ5" s="130"/>
      <c r="BA5" s="130"/>
      <c r="BB5" s="130"/>
      <c r="BC5" s="122"/>
      <c r="BD5" s="122"/>
      <c r="BE5" s="122"/>
      <c r="BF5" s="122"/>
      <c r="BG5" s="122"/>
      <c r="BH5" s="122"/>
      <c r="BI5" s="123"/>
      <c r="BJ5" s="122"/>
      <c r="BK5" s="122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</row>
    <row r="6" spans="1:108" ht="20.25" customHeight="1" thickBot="1">
      <c r="A6" s="44"/>
      <c r="B6" s="44"/>
      <c r="C6" s="49" t="str">
        <f>Begriffe!B6</f>
        <v>Schotterqualität</v>
      </c>
      <c r="D6" s="50"/>
      <c r="E6" s="51" t="str">
        <f>Begriffe!B7</f>
        <v>Kalksteinschotter</v>
      </c>
      <c r="F6" s="52"/>
      <c r="G6" s="53"/>
      <c r="H6" s="51" t="str">
        <f>Begriffe!B8</f>
        <v>Hartsteinschotter</v>
      </c>
      <c r="I6" s="54" t="str">
        <f>IF(BL6=0,Begriffe!B82,IF(BL6=2,Begriffe!B82,IF(BJ6=1,E6,H6)))</f>
        <v>Kalksteinschotter</v>
      </c>
      <c r="J6" s="55"/>
      <c r="K6" s="44"/>
      <c r="L6" s="44"/>
      <c r="M6" s="44"/>
      <c r="N6" s="153"/>
      <c r="O6" s="151" t="s">
        <v>9</v>
      </c>
      <c r="P6" s="132">
        <f>IF(P2=1,1,2)</f>
        <v>2</v>
      </c>
      <c r="Q6" s="120" t="str">
        <f>IF(P4=0,R1,IF(P6=1,R2,R3))</f>
        <v>Englisch</v>
      </c>
      <c r="R6" s="133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1"/>
      <c r="AE6" s="121"/>
      <c r="AF6" s="121"/>
      <c r="AG6" s="122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22"/>
      <c r="BD6" s="122"/>
      <c r="BE6" s="122"/>
      <c r="BF6" s="122"/>
      <c r="BG6" s="122"/>
      <c r="BH6" s="135" t="b">
        <v>1</v>
      </c>
      <c r="BI6" s="136" t="b">
        <v>0</v>
      </c>
      <c r="BJ6" s="122">
        <f>IF(BH6=TRUE,1,0)</f>
        <v>1</v>
      </c>
      <c r="BK6" s="122">
        <f>IF(BI6=TRUE,1,0)</f>
        <v>0</v>
      </c>
      <c r="BL6" s="145">
        <f>BJ6+BK6</f>
        <v>1</v>
      </c>
      <c r="BM6" s="145">
        <f>IF($P$4=0,$R$1,IF($P$2=1,CB6,CC6))</f>
        <v>0</v>
      </c>
      <c r="BN6" s="145"/>
      <c r="BO6" s="145">
        <f>IF(BK6=1,1,5)</f>
        <v>5</v>
      </c>
      <c r="BP6" s="145"/>
      <c r="BQ6" s="145"/>
      <c r="BR6" s="145"/>
      <c r="BS6" s="146" t="s">
        <v>10</v>
      </c>
      <c r="BT6" s="131"/>
      <c r="BU6" s="130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0"/>
      <c r="CJ6" s="145"/>
      <c r="CK6" s="145"/>
      <c r="CL6" s="145"/>
      <c r="CM6" s="145"/>
      <c r="CN6" s="145"/>
      <c r="CO6" s="145"/>
      <c r="CP6" s="145"/>
      <c r="CQ6" s="145"/>
      <c r="CR6" s="145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1:108" ht="9" customHeight="1">
      <c r="A7" s="44"/>
      <c r="B7" s="44"/>
      <c r="C7" s="49"/>
      <c r="D7" s="44"/>
      <c r="E7" s="47"/>
      <c r="F7" s="47"/>
      <c r="G7" s="47"/>
      <c r="H7" s="47"/>
      <c r="I7" s="56"/>
      <c r="J7" s="55"/>
      <c r="K7" s="44"/>
      <c r="L7" s="44"/>
      <c r="M7" s="44"/>
      <c r="N7" s="153"/>
      <c r="O7" s="151"/>
      <c r="P7" s="120"/>
      <c r="Q7" s="120"/>
      <c r="R7" s="133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1"/>
      <c r="AE7" s="121"/>
      <c r="AF7" s="121"/>
      <c r="AG7" s="122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22"/>
      <c r="BD7" s="122"/>
      <c r="BE7" s="122"/>
      <c r="BF7" s="122"/>
      <c r="BG7" s="122"/>
      <c r="BH7" s="135"/>
      <c r="BI7" s="136"/>
      <c r="BJ7" s="122"/>
      <c r="BK7" s="122"/>
      <c r="BL7" s="145"/>
      <c r="BM7" s="145"/>
      <c r="BN7" s="145"/>
      <c r="BO7" s="145"/>
      <c r="BP7" s="145"/>
      <c r="BQ7" s="145"/>
      <c r="BR7" s="145"/>
      <c r="BS7" s="130"/>
      <c r="BT7" s="131"/>
      <c r="BU7" s="130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0"/>
      <c r="CJ7" s="145"/>
      <c r="CK7" s="145"/>
      <c r="CL7" s="145"/>
      <c r="CM7" s="145"/>
      <c r="CN7" s="145"/>
      <c r="CO7" s="145"/>
      <c r="CP7" s="145"/>
      <c r="CQ7" s="145"/>
      <c r="CR7" s="145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</row>
    <row r="8" spans="1:108" ht="5.25" customHeight="1">
      <c r="A8" s="44"/>
      <c r="B8" s="44"/>
      <c r="C8" s="49"/>
      <c r="D8" s="44"/>
      <c r="E8" s="47"/>
      <c r="F8" s="47"/>
      <c r="G8" s="47"/>
      <c r="H8" s="47"/>
      <c r="I8" s="56"/>
      <c r="J8" s="55"/>
      <c r="K8" s="44"/>
      <c r="L8" s="44"/>
      <c r="M8" s="44"/>
      <c r="N8" s="153"/>
      <c r="O8" s="151"/>
      <c r="P8" s="120"/>
      <c r="Q8" s="120"/>
      <c r="R8" s="133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1"/>
      <c r="AE8" s="121"/>
      <c r="AF8" s="121"/>
      <c r="AG8" s="122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22"/>
      <c r="BD8" s="122"/>
      <c r="BE8" s="122"/>
      <c r="BF8" s="122"/>
      <c r="BG8" s="122"/>
      <c r="BH8" s="135"/>
      <c r="BI8" s="136"/>
      <c r="BJ8" s="122"/>
      <c r="BK8" s="122"/>
      <c r="BL8" s="145"/>
      <c r="BM8" s="145"/>
      <c r="BN8" s="145"/>
      <c r="BO8" s="145"/>
      <c r="BP8" s="145"/>
      <c r="BQ8" s="145"/>
      <c r="BR8" s="145"/>
      <c r="BS8" s="130"/>
      <c r="BT8" s="131"/>
      <c r="BU8" s="130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0"/>
      <c r="CJ8" s="145"/>
      <c r="CK8" s="145"/>
      <c r="CL8" s="145"/>
      <c r="CM8" s="145"/>
      <c r="CN8" s="145"/>
      <c r="CO8" s="145"/>
      <c r="CP8" s="145"/>
      <c r="CQ8" s="145"/>
      <c r="CR8" s="145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</row>
    <row r="9" spans="1:108" ht="15.75">
      <c r="A9" s="44"/>
      <c r="B9" s="44"/>
      <c r="C9" s="49" t="str">
        <f>Begriffe!B9</f>
        <v>Geschwindigkeit </v>
      </c>
      <c r="D9" s="44"/>
      <c r="E9" s="47"/>
      <c r="F9" s="47"/>
      <c r="G9" s="47"/>
      <c r="H9" s="47"/>
      <c r="I9" s="57">
        <v>191</v>
      </c>
      <c r="J9" s="55" t="s">
        <v>11</v>
      </c>
      <c r="K9" s="44"/>
      <c r="L9" s="44"/>
      <c r="M9" s="44"/>
      <c r="N9" s="153"/>
      <c r="O9" s="151"/>
      <c r="P9" s="120"/>
      <c r="Q9" s="120"/>
      <c r="R9" s="133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1"/>
      <c r="AE9" s="121"/>
      <c r="AF9" s="121"/>
      <c r="AG9" s="122"/>
      <c r="AH9" s="134" t="s">
        <v>12</v>
      </c>
      <c r="AI9" s="137" t="s">
        <v>13</v>
      </c>
      <c r="AJ9" s="137"/>
      <c r="AK9" s="137" t="s">
        <v>14</v>
      </c>
      <c r="AL9" s="137"/>
      <c r="AM9" s="134" t="s">
        <v>15</v>
      </c>
      <c r="AN9" s="134" t="s">
        <v>16</v>
      </c>
      <c r="AO9" s="137" t="s">
        <v>17</v>
      </c>
      <c r="AP9" s="137"/>
      <c r="AQ9" s="137" t="s">
        <v>18</v>
      </c>
      <c r="AR9" s="137"/>
      <c r="AS9" s="137" t="s">
        <v>19</v>
      </c>
      <c r="AT9" s="137"/>
      <c r="AU9" s="134" t="s">
        <v>20</v>
      </c>
      <c r="AV9" s="134" t="s">
        <v>21</v>
      </c>
      <c r="AW9" s="134" t="s">
        <v>12</v>
      </c>
      <c r="AX9" s="137" t="s">
        <v>22</v>
      </c>
      <c r="AY9" s="134" t="s">
        <v>22</v>
      </c>
      <c r="AZ9" s="137" t="s">
        <v>12</v>
      </c>
      <c r="BA9" s="137" t="s">
        <v>22</v>
      </c>
      <c r="BB9" s="137" t="s">
        <v>22</v>
      </c>
      <c r="BC9" s="122"/>
      <c r="BD9" s="122"/>
      <c r="BE9" s="122"/>
      <c r="BF9" s="122"/>
      <c r="BG9" s="122"/>
      <c r="BH9" s="135"/>
      <c r="BI9" s="136"/>
      <c r="BJ9" s="122"/>
      <c r="BK9" s="122"/>
      <c r="BL9" s="145"/>
      <c r="BM9" s="145">
        <f>(I9/100)^2</f>
        <v>3.6481</v>
      </c>
      <c r="BN9" s="145"/>
      <c r="BO9" s="145"/>
      <c r="BP9" s="145"/>
      <c r="BQ9" s="145"/>
      <c r="BR9" s="145"/>
      <c r="BS9" s="130"/>
      <c r="BT9" s="131"/>
      <c r="BU9" s="130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0"/>
      <c r="CJ9" s="145"/>
      <c r="CK9" s="145"/>
      <c r="CL9" s="145"/>
      <c r="CM9" s="145"/>
      <c r="CN9" s="145"/>
      <c r="CO9" s="145"/>
      <c r="CP9" s="145"/>
      <c r="CQ9" s="145"/>
      <c r="CR9" s="145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ht="16.5" thickBot="1">
      <c r="A10" s="44"/>
      <c r="B10" s="44"/>
      <c r="C10" s="49"/>
      <c r="D10" s="44"/>
      <c r="E10" s="47"/>
      <c r="F10" s="47"/>
      <c r="G10" s="47"/>
      <c r="H10" s="47"/>
      <c r="I10" s="56"/>
      <c r="J10" s="55"/>
      <c r="K10" s="44"/>
      <c r="L10" s="44"/>
      <c r="M10" s="44"/>
      <c r="N10" s="154"/>
      <c r="O10" s="134">
        <v>5</v>
      </c>
      <c r="P10" s="128" t="str">
        <f>IF(O10=1,R5,R4)</f>
        <v>Die Eingaben betreffen Datenvorgaben für unbesohlte Schwellen (Daten für besohlte Schwellen sind Fixdaten)</v>
      </c>
      <c r="Q10" s="130"/>
      <c r="R10" s="133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1"/>
      <c r="AE10" s="121"/>
      <c r="AF10" s="121"/>
      <c r="AG10" s="122"/>
      <c r="AH10" s="134"/>
      <c r="AI10" s="134" t="s">
        <v>12</v>
      </c>
      <c r="AJ10" s="134" t="s">
        <v>23</v>
      </c>
      <c r="AK10" s="134"/>
      <c r="AL10" s="134"/>
      <c r="AM10" s="134" t="s">
        <v>24</v>
      </c>
      <c r="AN10" s="134" t="s">
        <v>24</v>
      </c>
      <c r="AO10" s="134" t="s">
        <v>12</v>
      </c>
      <c r="AP10" s="134" t="s">
        <v>23</v>
      </c>
      <c r="AQ10" s="134" t="s">
        <v>12</v>
      </c>
      <c r="AR10" s="134" t="s">
        <v>25</v>
      </c>
      <c r="AS10" s="134" t="s">
        <v>12</v>
      </c>
      <c r="AT10" s="134" t="s">
        <v>26</v>
      </c>
      <c r="AU10" s="134" t="s">
        <v>24</v>
      </c>
      <c r="AV10" s="134" t="s">
        <v>27</v>
      </c>
      <c r="AW10" s="134"/>
      <c r="AX10" s="137"/>
      <c r="AY10" s="134"/>
      <c r="AZ10" s="137"/>
      <c r="BA10" s="137" t="s">
        <v>28</v>
      </c>
      <c r="BB10" s="137"/>
      <c r="BC10" s="122"/>
      <c r="BD10" s="122"/>
      <c r="BE10" s="122"/>
      <c r="BF10" s="122"/>
      <c r="BG10" s="122"/>
      <c r="BH10" s="135"/>
      <c r="BI10" s="136"/>
      <c r="BJ10" s="122"/>
      <c r="BK10" s="122"/>
      <c r="BL10" s="145"/>
      <c r="BM10" s="145"/>
      <c r="BN10" s="145"/>
      <c r="BO10" s="145"/>
      <c r="BP10" s="145"/>
      <c r="BQ10" s="145"/>
      <c r="BR10" s="145"/>
      <c r="BS10" s="128" t="s">
        <v>29</v>
      </c>
      <c r="BT10" s="131"/>
      <c r="BU10" s="130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0"/>
      <c r="CJ10" s="145"/>
      <c r="CK10" s="145"/>
      <c r="CL10" s="145"/>
      <c r="CM10" s="145"/>
      <c r="CN10" s="145"/>
      <c r="CO10" s="145"/>
      <c r="CP10" s="145"/>
      <c r="CQ10" s="145"/>
      <c r="CR10" s="145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1:108" ht="20.25" customHeight="1" thickBot="1">
      <c r="A11" s="44"/>
      <c r="B11" s="44"/>
      <c r="C11" s="49" t="str">
        <f>Begriffe!B11</f>
        <v>Verkehrsart </v>
      </c>
      <c r="D11" s="50"/>
      <c r="E11" s="51" t="str">
        <f>Begriffe!B10</f>
        <v>Personenverkehr</v>
      </c>
      <c r="F11" s="58"/>
      <c r="G11" s="59"/>
      <c r="H11" s="51" t="str">
        <f>Begriffe!B12</f>
        <v>Güterverkehr</v>
      </c>
      <c r="I11" s="54" t="str">
        <f>IF(BL11=0,Begriffe!B82,IF(BL11=2,BM11,IF(BJ11=1,E11,H11)))</f>
        <v>Mischverkehr</v>
      </c>
      <c r="J11" s="55"/>
      <c r="K11" s="44"/>
      <c r="L11" s="44"/>
      <c r="M11" s="44"/>
      <c r="N11" s="154"/>
      <c r="O11" s="134" t="s">
        <v>30</v>
      </c>
      <c r="P11" s="130"/>
      <c r="Q11" s="130"/>
      <c r="R11" s="133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1"/>
      <c r="AE11" s="121"/>
      <c r="AF11" s="121"/>
      <c r="AG11" s="122"/>
      <c r="AH11" s="134" t="s">
        <v>31</v>
      </c>
      <c r="AI11" s="138">
        <f>J206</f>
        <v>5</v>
      </c>
      <c r="AJ11" s="138">
        <f>H32</f>
        <v>3200</v>
      </c>
      <c r="AK11" s="138">
        <f>J212</f>
        <v>5</v>
      </c>
      <c r="AL11" s="138">
        <f>H33</f>
        <v>4500</v>
      </c>
      <c r="AM11" s="134">
        <f>I9/100</f>
        <v>1.91</v>
      </c>
      <c r="AN11" s="139">
        <f>BO11*0.8</f>
        <v>1.2000000000000002</v>
      </c>
      <c r="AO11" s="138">
        <f>J204</f>
        <v>20</v>
      </c>
      <c r="AP11" s="139">
        <f>H34</f>
        <v>75700</v>
      </c>
      <c r="AQ11" s="138">
        <f>J208</f>
        <v>40</v>
      </c>
      <c r="AR11" s="138">
        <f>H35</f>
        <v>110239.99999999999</v>
      </c>
      <c r="AS11" s="138">
        <f>J210</f>
        <v>60</v>
      </c>
      <c r="AT11" s="138">
        <f>H36+H39*1000/H44</f>
        <v>251666.6666666667</v>
      </c>
      <c r="AU11" s="139">
        <f>BM13*J201</f>
        <v>0.5695</v>
      </c>
      <c r="AV11" s="139">
        <f>IF(BO6=5,BO6*J198,1)</f>
        <v>3.3000000000000003</v>
      </c>
      <c r="AW11" s="134"/>
      <c r="AX11" s="134" t="s">
        <v>32</v>
      </c>
      <c r="AY11" s="134" t="s">
        <v>33</v>
      </c>
      <c r="AZ11" s="137"/>
      <c r="BA11" s="134" t="s">
        <v>32</v>
      </c>
      <c r="BB11" s="137" t="s">
        <v>33</v>
      </c>
      <c r="BC11" s="122"/>
      <c r="BD11" s="122"/>
      <c r="BE11" s="122"/>
      <c r="BF11" s="122"/>
      <c r="BG11" s="122"/>
      <c r="BH11" s="135" t="b">
        <v>1</v>
      </c>
      <c r="BI11" s="136" t="b">
        <v>1</v>
      </c>
      <c r="BJ11" s="122">
        <f>IF(BH11=TRUE,1,0)</f>
        <v>1</v>
      </c>
      <c r="BK11" s="122">
        <f>IF(BI11=TRUE,1,0)</f>
        <v>1</v>
      </c>
      <c r="BL11" s="145">
        <f>BJ11+BK11</f>
        <v>2</v>
      </c>
      <c r="BM11" s="145" t="str">
        <f>Begriffe!B14</f>
        <v>Mischverkehr</v>
      </c>
      <c r="BN11" s="145"/>
      <c r="BO11" s="145">
        <f>IF(BJ12=1,0.8,IF(BK12=1,1.3,1.5))</f>
        <v>1.5</v>
      </c>
      <c r="BP11" s="145"/>
      <c r="BQ11" s="145"/>
      <c r="BR11" s="145"/>
      <c r="BS11" s="130" t="s">
        <v>12</v>
      </c>
      <c r="BT11" s="147" t="s">
        <v>13</v>
      </c>
      <c r="BU11" s="148"/>
      <c r="BV11" s="147" t="s">
        <v>14</v>
      </c>
      <c r="BW11" s="147"/>
      <c r="BX11" s="131" t="s">
        <v>15</v>
      </c>
      <c r="BY11" s="131" t="s">
        <v>16</v>
      </c>
      <c r="BZ11" s="147" t="s">
        <v>17</v>
      </c>
      <c r="CA11" s="147"/>
      <c r="CB11" s="147" t="s">
        <v>18</v>
      </c>
      <c r="CC11" s="147"/>
      <c r="CD11" s="147" t="s">
        <v>19</v>
      </c>
      <c r="CE11" s="147"/>
      <c r="CF11" s="131" t="s">
        <v>20</v>
      </c>
      <c r="CG11" s="131" t="s">
        <v>21</v>
      </c>
      <c r="CH11" s="131" t="s">
        <v>12</v>
      </c>
      <c r="CI11" s="130" t="s">
        <v>22</v>
      </c>
      <c r="CJ11" s="145"/>
      <c r="CK11" s="145"/>
      <c r="CL11" s="145"/>
      <c r="CM11" s="145"/>
      <c r="CN11" s="145"/>
      <c r="CO11" s="145"/>
      <c r="CP11" s="145"/>
      <c r="CQ11" s="145"/>
      <c r="CR11" s="145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</row>
    <row r="12" spans="1:108" ht="15.75">
      <c r="A12" s="44"/>
      <c r="B12" s="44"/>
      <c r="C12" s="49"/>
      <c r="D12" s="44"/>
      <c r="E12" s="44"/>
      <c r="F12" s="44"/>
      <c r="G12" s="44"/>
      <c r="H12" s="44"/>
      <c r="I12" s="56"/>
      <c r="J12" s="55"/>
      <c r="K12" s="44"/>
      <c r="L12" s="44"/>
      <c r="M12" s="44"/>
      <c r="N12" s="154"/>
      <c r="O12" s="134" t="s">
        <v>34</v>
      </c>
      <c r="P12" s="130"/>
      <c r="Q12" s="130"/>
      <c r="R12" s="133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1"/>
      <c r="AE12" s="121"/>
      <c r="AF12" s="121"/>
      <c r="AG12" s="122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22"/>
      <c r="BD12" s="122"/>
      <c r="BE12" s="122"/>
      <c r="BF12" s="122"/>
      <c r="BG12" s="122"/>
      <c r="BH12" s="122"/>
      <c r="BI12" s="123"/>
      <c r="BJ12" s="122">
        <f>BJ11-BK11</f>
        <v>0</v>
      </c>
      <c r="BK12" s="122">
        <f>BK11-BJ11</f>
        <v>0</v>
      </c>
      <c r="BL12" s="145"/>
      <c r="BM12" s="145"/>
      <c r="BN12" s="145"/>
      <c r="BO12" s="145"/>
      <c r="BP12" s="145"/>
      <c r="BQ12" s="145"/>
      <c r="BR12" s="145"/>
      <c r="BS12" s="130"/>
      <c r="BT12" s="131"/>
      <c r="BU12" s="130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 t="s">
        <v>27</v>
      </c>
      <c r="CH12" s="131"/>
      <c r="CI12" s="130"/>
      <c r="CJ12" s="145"/>
      <c r="CK12" s="145"/>
      <c r="CL12" s="145"/>
      <c r="CM12" s="145"/>
      <c r="CN12" s="145"/>
      <c r="CO12" s="145"/>
      <c r="CP12" s="145"/>
      <c r="CQ12" s="145"/>
      <c r="CR12" s="145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</row>
    <row r="13" spans="1:108" ht="15.75">
      <c r="A13" s="44"/>
      <c r="B13" s="44"/>
      <c r="C13" s="49" t="str">
        <f>Begriffe!B13</f>
        <v>Lasttonnen im Jahr </v>
      </c>
      <c r="D13" s="44"/>
      <c r="E13" s="44"/>
      <c r="F13" s="44"/>
      <c r="G13" s="44"/>
      <c r="H13" s="44"/>
      <c r="I13" s="57">
        <v>2</v>
      </c>
      <c r="J13" s="55" t="str">
        <f>Begriffe!B16</f>
        <v>Mio. Lasttonnen / Jahr</v>
      </c>
      <c r="K13" s="44"/>
      <c r="L13" s="44"/>
      <c r="M13" s="44"/>
      <c r="N13" s="154"/>
      <c r="O13" s="134" t="s">
        <v>35</v>
      </c>
      <c r="P13" s="130"/>
      <c r="Q13" s="130"/>
      <c r="R13" s="133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1"/>
      <c r="AE13" s="121"/>
      <c r="AF13" s="121"/>
      <c r="AG13" s="122"/>
      <c r="AH13" s="140" t="s">
        <v>36</v>
      </c>
      <c r="AI13" s="134"/>
      <c r="AJ13" s="138">
        <f>AJ11</f>
        <v>3200</v>
      </c>
      <c r="AK13" s="140"/>
      <c r="AL13" s="138">
        <f>AL11</f>
        <v>4500</v>
      </c>
      <c r="AM13" s="140"/>
      <c r="AN13" s="140"/>
      <c r="AO13" s="140"/>
      <c r="AP13" s="140"/>
      <c r="AQ13" s="140"/>
      <c r="AR13" s="138">
        <f>AR11</f>
        <v>110239.99999999999</v>
      </c>
      <c r="AS13" s="140"/>
      <c r="AT13" s="138">
        <f>AT11</f>
        <v>251666.6666666667</v>
      </c>
      <c r="AU13" s="140"/>
      <c r="AV13" s="140"/>
      <c r="AW13" s="140"/>
      <c r="AX13" s="138">
        <f>AT13+AR13+AJ13+AL13</f>
        <v>369606.6666666667</v>
      </c>
      <c r="AY13" s="138">
        <f>H26</f>
        <v>0</v>
      </c>
      <c r="AZ13" s="138">
        <v>0</v>
      </c>
      <c r="BA13" s="138">
        <f>AX13</f>
        <v>369606.6666666667</v>
      </c>
      <c r="BB13" s="138">
        <f>AY13</f>
        <v>0</v>
      </c>
      <c r="BC13" s="122"/>
      <c r="BD13" s="122"/>
      <c r="BE13" s="122"/>
      <c r="BF13" s="122"/>
      <c r="BG13" s="122"/>
      <c r="BH13" s="122"/>
      <c r="BI13" s="123"/>
      <c r="BJ13" s="122"/>
      <c r="BK13" s="122"/>
      <c r="BL13" s="145"/>
      <c r="BM13" s="145">
        <f>1+(I13-3.5)/10</f>
        <v>0.85</v>
      </c>
      <c r="BN13" s="145"/>
      <c r="BO13" s="145"/>
      <c r="BP13" s="145"/>
      <c r="BQ13" s="145"/>
      <c r="BR13" s="145"/>
      <c r="BS13" s="130" t="s">
        <v>31</v>
      </c>
      <c r="BT13" s="130">
        <f>I15</f>
        <v>2</v>
      </c>
      <c r="BU13" s="138">
        <f>H32</f>
        <v>3200</v>
      </c>
      <c r="BV13" s="138">
        <f>BH17</f>
        <v>3</v>
      </c>
      <c r="BW13" s="138">
        <f>H33</f>
        <v>4500</v>
      </c>
      <c r="BX13" s="138">
        <f>BM9</f>
        <v>3.6481</v>
      </c>
      <c r="BY13" s="138">
        <f>BO11</f>
        <v>1.5</v>
      </c>
      <c r="BZ13" s="138">
        <f>BH19</f>
        <v>10</v>
      </c>
      <c r="CA13" s="138">
        <f>H34</f>
        <v>75700</v>
      </c>
      <c r="CB13" s="130">
        <f>BH21</f>
        <v>28</v>
      </c>
      <c r="CC13" s="138">
        <f>H35</f>
        <v>110239.99999999999</v>
      </c>
      <c r="CD13" s="131">
        <f>BH23</f>
        <v>40</v>
      </c>
      <c r="CE13" s="138">
        <f>H36</f>
        <v>131666.6666666667</v>
      </c>
      <c r="CF13" s="131">
        <f>BM13</f>
        <v>0.85</v>
      </c>
      <c r="CG13" s="131">
        <f>BO6</f>
        <v>5</v>
      </c>
      <c r="CH13" s="130" t="str">
        <f>BS13</f>
        <v>Intervall</v>
      </c>
      <c r="CI13" s="130"/>
      <c r="CJ13" s="145"/>
      <c r="CK13" s="145"/>
      <c r="CL13" s="145"/>
      <c r="CM13" s="145"/>
      <c r="CN13" s="145"/>
      <c r="CO13" s="145"/>
      <c r="CP13" s="145"/>
      <c r="CQ13" s="145"/>
      <c r="CR13" s="145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</row>
    <row r="14" spans="1:108" ht="15.75">
      <c r="A14" s="44"/>
      <c r="B14" s="44"/>
      <c r="C14" s="49"/>
      <c r="D14" s="44"/>
      <c r="E14" s="44"/>
      <c r="F14" s="44"/>
      <c r="G14" s="44"/>
      <c r="H14" s="44"/>
      <c r="I14" s="56"/>
      <c r="J14" s="55"/>
      <c r="K14" s="44"/>
      <c r="L14" s="44"/>
      <c r="M14" s="44"/>
      <c r="N14" s="154"/>
      <c r="O14" s="134" t="s">
        <v>37</v>
      </c>
      <c r="P14" s="130"/>
      <c r="Q14" s="130"/>
      <c r="R14" s="133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1"/>
      <c r="AE14" s="121"/>
      <c r="AF14" s="121"/>
      <c r="AG14" s="122"/>
      <c r="AH14" s="134">
        <v>1</v>
      </c>
      <c r="AI14" s="130">
        <f aca="true" t="shared" si="0" ref="AI14:AI23">1/AI$11*AJ$11</f>
        <v>640</v>
      </c>
      <c r="AJ14" s="138">
        <f>SUM(AI$14:AI14)</f>
        <v>640</v>
      </c>
      <c r="AK14" s="131">
        <f aca="true" t="shared" si="1" ref="AK14:AK23">IF(AK$11=0,0,1/AK$11)</f>
        <v>0.2</v>
      </c>
      <c r="AL14" s="138">
        <f aca="true" t="shared" si="2" ref="AL14:AL23">AL$11*AK14</f>
        <v>900</v>
      </c>
      <c r="AM14" s="134"/>
      <c r="AN14" s="134"/>
      <c r="AO14" s="134">
        <f aca="true" t="shared" si="3" ref="AO14:AO23">IF(AO$11=0,0,1/AO$11)</f>
        <v>0.05</v>
      </c>
      <c r="AP14" s="138">
        <f>SUM(AO$14:AO14)*AP$11</f>
        <v>3785</v>
      </c>
      <c r="AQ14" s="131">
        <f aca="true" t="shared" si="4" ref="AQ14:AQ23">IF(AQ$11=0,0,1/AQ$11)</f>
        <v>0.025</v>
      </c>
      <c r="AR14" s="138">
        <f>SUM(AQ$14:AQ14)*AR$11</f>
        <v>2756</v>
      </c>
      <c r="AS14" s="131">
        <f aca="true" t="shared" si="5" ref="AS14:AS23">IF(AS$11=0,0,1/AS$11)</f>
        <v>0.016666666666666666</v>
      </c>
      <c r="AT14" s="138">
        <f>SUM(AS$14:AS14)*AT$11</f>
        <v>4194.444444444444</v>
      </c>
      <c r="AU14" s="134"/>
      <c r="AV14" s="134"/>
      <c r="AW14" s="134">
        <f aca="true" t="shared" si="6" ref="AW14:AW45">AH14</f>
        <v>1</v>
      </c>
      <c r="AX14" s="138">
        <f>((AJ14+AL14+AP14+AR14+AT14)*AM$11*AN$11*AU$11*AV$11)*0.1</f>
        <v>5287.6111136200025</v>
      </c>
      <c r="AY14" s="138">
        <f aca="true" t="shared" si="7" ref="AY14:AY45">CI15</f>
        <v>41626.61247767857</v>
      </c>
      <c r="AZ14" s="138">
        <f aca="true" t="shared" si="8" ref="AZ14:AZ45">AW14</f>
        <v>1</v>
      </c>
      <c r="BA14" s="138">
        <f aca="true" t="shared" si="9" ref="BA14:BB23">BA$13+AX14</f>
        <v>374894.2777802867</v>
      </c>
      <c r="BB14" s="138">
        <f t="shared" si="9"/>
        <v>41626.61247767857</v>
      </c>
      <c r="BC14" s="122"/>
      <c r="BD14" s="122"/>
      <c r="BE14" s="122"/>
      <c r="BF14" s="122"/>
      <c r="BG14" s="122"/>
      <c r="BH14" s="122"/>
      <c r="BI14" s="123"/>
      <c r="BJ14" s="122"/>
      <c r="BK14" s="122"/>
      <c r="BL14" s="145"/>
      <c r="BM14" s="145"/>
      <c r="BN14" s="145"/>
      <c r="BO14" s="145"/>
      <c r="BP14" s="145"/>
      <c r="BQ14" s="145"/>
      <c r="BR14" s="145"/>
      <c r="BS14" s="130"/>
      <c r="BT14" s="131"/>
      <c r="BU14" s="130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0"/>
      <c r="CI14" s="130"/>
      <c r="CJ14" s="145"/>
      <c r="CK14" s="145"/>
      <c r="CL14" s="145"/>
      <c r="CM14" s="145"/>
      <c r="CN14" s="145"/>
      <c r="CO14" s="145"/>
      <c r="CP14" s="145"/>
      <c r="CQ14" s="145"/>
      <c r="CR14" s="145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5" spans="1:108" ht="15.75">
      <c r="A15" s="44"/>
      <c r="B15" s="44"/>
      <c r="C15" s="49" t="str">
        <f>Begriffe!B15</f>
        <v>Richt- und Stopfintervalle</v>
      </c>
      <c r="D15" s="44"/>
      <c r="E15" s="44"/>
      <c r="F15" s="44"/>
      <c r="G15" s="44"/>
      <c r="H15" s="44"/>
      <c r="I15" s="57">
        <v>2</v>
      </c>
      <c r="J15" s="55" t="str">
        <f>Begriffe!B18</f>
        <v>Jahre</v>
      </c>
      <c r="K15" s="44"/>
      <c r="L15" s="44"/>
      <c r="M15" s="44"/>
      <c r="N15" s="154"/>
      <c r="O15" s="134" t="s">
        <v>2</v>
      </c>
      <c r="P15" s="130"/>
      <c r="Q15" s="130"/>
      <c r="R15" s="133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1"/>
      <c r="AE15" s="121"/>
      <c r="AF15" s="121"/>
      <c r="AG15" s="122"/>
      <c r="AH15" s="134">
        <v>2</v>
      </c>
      <c r="AI15" s="130">
        <f t="shared" si="0"/>
        <v>640</v>
      </c>
      <c r="AJ15" s="138">
        <f>SUM(AI$14:AI15)</f>
        <v>1280</v>
      </c>
      <c r="AK15" s="131">
        <f t="shared" si="1"/>
        <v>0.2</v>
      </c>
      <c r="AL15" s="138">
        <f t="shared" si="2"/>
        <v>900</v>
      </c>
      <c r="AM15" s="134"/>
      <c r="AN15" s="134"/>
      <c r="AO15" s="134">
        <f t="shared" si="3"/>
        <v>0.05</v>
      </c>
      <c r="AP15" s="138">
        <f>SUM(AO$14:AO15)*AP$11</f>
        <v>7570</v>
      </c>
      <c r="AQ15" s="131">
        <f t="shared" si="4"/>
        <v>0.025</v>
      </c>
      <c r="AR15" s="138">
        <f>SUM(AQ$14:AQ15)*AR$11</f>
        <v>5512</v>
      </c>
      <c r="AS15" s="131">
        <f t="shared" si="5"/>
        <v>0.016666666666666666</v>
      </c>
      <c r="AT15" s="138">
        <f>SUM(AS$14:AS15)*AT$11</f>
        <v>8388.888888888889</v>
      </c>
      <c r="AU15" s="134"/>
      <c r="AV15" s="134"/>
      <c r="AW15" s="134">
        <f t="shared" si="6"/>
        <v>2</v>
      </c>
      <c r="AX15" s="138">
        <f>((AJ15+AL15+AP15+AR15+AT15)*AM$11*AN$11*AU$11*AV$11)*0.2</f>
        <v>20375.09981848001</v>
      </c>
      <c r="AY15" s="138">
        <f t="shared" si="7"/>
        <v>166506.4499107143</v>
      </c>
      <c r="AZ15" s="138">
        <f t="shared" si="8"/>
        <v>2</v>
      </c>
      <c r="BA15" s="138">
        <f t="shared" si="9"/>
        <v>389981.7664851467</v>
      </c>
      <c r="BB15" s="138">
        <f t="shared" si="9"/>
        <v>166506.4499107143</v>
      </c>
      <c r="BC15" s="122"/>
      <c r="BD15" s="122"/>
      <c r="BE15" s="122"/>
      <c r="BF15" s="122"/>
      <c r="BG15" s="122"/>
      <c r="BH15" s="122"/>
      <c r="BI15" s="123"/>
      <c r="BJ15" s="122"/>
      <c r="BK15" s="122"/>
      <c r="BL15" s="145"/>
      <c r="BM15" s="145"/>
      <c r="BN15" s="145"/>
      <c r="BO15" s="145"/>
      <c r="BP15" s="145"/>
      <c r="BQ15" s="145"/>
      <c r="BR15" s="145"/>
      <c r="BS15" s="130">
        <v>1</v>
      </c>
      <c r="BT15" s="131">
        <f aca="true" t="shared" si="10" ref="BT15:BT23">1/BT$13</f>
        <v>0.5</v>
      </c>
      <c r="BU15" s="138">
        <f>SUM(BT$15:BT15)*BU$13</f>
        <v>1600</v>
      </c>
      <c r="BV15" s="131">
        <f aca="true" t="shared" si="11" ref="BV15:BV23">IF(BV$13=0,0,1/BV$13)</f>
        <v>0.3333333333333333</v>
      </c>
      <c r="BW15" s="138">
        <f>SUM(BV$15:BV15)*BW$13</f>
        <v>1500</v>
      </c>
      <c r="BX15" s="131"/>
      <c r="BY15" s="131"/>
      <c r="BZ15" s="131">
        <f aca="true" t="shared" si="12" ref="BZ15:BZ23">IF(BZ$13=0,0,1/BZ$13)</f>
        <v>0.1</v>
      </c>
      <c r="CA15" s="138">
        <f>SUM(BZ$15:BZ15)*CA$13</f>
        <v>7570</v>
      </c>
      <c r="CB15" s="131">
        <f aca="true" t="shared" si="13" ref="CB15:CB23">IF(CB$13=0,0,1/CB$13)</f>
        <v>0.03571428571428571</v>
      </c>
      <c r="CC15" s="138">
        <f>SUM(CB$15:CB15)*CC$13</f>
        <v>3937.1428571428564</v>
      </c>
      <c r="CD15" s="131">
        <f aca="true" t="shared" si="14" ref="CD15:CD23">IF(CD$13=0,0,1/CD$13)</f>
        <v>0.025</v>
      </c>
      <c r="CE15" s="138">
        <f>SUM(CD$15:CD15)*CE$13</f>
        <v>3291.6666666666674</v>
      </c>
      <c r="CF15" s="131"/>
      <c r="CG15" s="131"/>
      <c r="CH15" s="130">
        <f aca="true" t="shared" si="15" ref="CH15:CH46">BS15</f>
        <v>1</v>
      </c>
      <c r="CI15" s="138">
        <f>((BU15+BW15+CA15+CC15+CE15)*BX$13*BY$13*CF$13*CG$13)*0.1</f>
        <v>41626.61247767857</v>
      </c>
      <c r="CJ15" s="145"/>
      <c r="CK15" s="145"/>
      <c r="CL15" s="145"/>
      <c r="CM15" s="145"/>
      <c r="CN15" s="145"/>
      <c r="CO15" s="145"/>
      <c r="CP15" s="145"/>
      <c r="CQ15" s="145"/>
      <c r="CR15" s="145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ht="15.75">
      <c r="A16" s="44"/>
      <c r="B16" s="44"/>
      <c r="C16" s="49" t="str">
        <f>IF(O$10=2,Begriffe!B99,$A$1)</f>
        <v> </v>
      </c>
      <c r="D16" s="44"/>
      <c r="E16" s="44"/>
      <c r="F16" s="44"/>
      <c r="G16" s="44"/>
      <c r="H16" s="44"/>
      <c r="I16" s="56"/>
      <c r="J16" s="55"/>
      <c r="K16" s="44" t="s">
        <v>38</v>
      </c>
      <c r="L16" s="44"/>
      <c r="M16" s="44"/>
      <c r="N16" s="153"/>
      <c r="O16" s="151" t="s">
        <v>39</v>
      </c>
      <c r="P16" s="120"/>
      <c r="Q16" s="120"/>
      <c r="R16" s="133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1"/>
      <c r="AE16" s="121"/>
      <c r="AF16" s="121"/>
      <c r="AG16" s="122"/>
      <c r="AH16" s="134">
        <v>3</v>
      </c>
      <c r="AI16" s="130">
        <f t="shared" si="0"/>
        <v>640</v>
      </c>
      <c r="AJ16" s="138">
        <f>SUM(AI$14:AI16)</f>
        <v>1920</v>
      </c>
      <c r="AK16" s="131">
        <f t="shared" si="1"/>
        <v>0.2</v>
      </c>
      <c r="AL16" s="138">
        <f t="shared" si="2"/>
        <v>900</v>
      </c>
      <c r="AM16" s="134"/>
      <c r="AN16" s="134"/>
      <c r="AO16" s="134">
        <f t="shared" si="3"/>
        <v>0.05</v>
      </c>
      <c r="AP16" s="138">
        <f>SUM(AO$14:AO16)*AP$11</f>
        <v>11355.000000000002</v>
      </c>
      <c r="AQ16" s="131">
        <f t="shared" si="4"/>
        <v>0.025</v>
      </c>
      <c r="AR16" s="138">
        <f>SUM(AQ$14:AQ16)*AR$11</f>
        <v>8268</v>
      </c>
      <c r="AS16" s="131">
        <f t="shared" si="5"/>
        <v>0.016666666666666666</v>
      </c>
      <c r="AT16" s="138">
        <f>SUM(AS$14:AS16)*AT$11</f>
        <v>12583.333333333336</v>
      </c>
      <c r="AU16" s="134"/>
      <c r="AV16" s="134"/>
      <c r="AW16" s="134">
        <f t="shared" si="6"/>
        <v>3</v>
      </c>
      <c r="AX16" s="138">
        <f>((AJ16+AL16+AP16+AR16+AT16)*AM$11*AN$11*AU$11*AV$11)*0.4</f>
        <v>60349.954819440005</v>
      </c>
      <c r="AY16" s="138">
        <f t="shared" si="7"/>
        <v>499519.3497321429</v>
      </c>
      <c r="AZ16" s="138">
        <f t="shared" si="8"/>
        <v>3</v>
      </c>
      <c r="BA16" s="138">
        <f t="shared" si="9"/>
        <v>429956.6214861067</v>
      </c>
      <c r="BB16" s="138">
        <f t="shared" si="9"/>
        <v>499519.3497321429</v>
      </c>
      <c r="BC16" s="122"/>
      <c r="BD16" s="122"/>
      <c r="BE16" s="122"/>
      <c r="BF16" s="122"/>
      <c r="BG16" s="122"/>
      <c r="BH16" s="122"/>
      <c r="BI16" s="123"/>
      <c r="BJ16" s="122"/>
      <c r="BK16" s="122"/>
      <c r="BL16" s="145"/>
      <c r="BM16" s="145"/>
      <c r="BN16" s="145"/>
      <c r="BO16" s="145"/>
      <c r="BP16" s="145"/>
      <c r="BQ16" s="145"/>
      <c r="BR16" s="145"/>
      <c r="BS16" s="130">
        <v>2</v>
      </c>
      <c r="BT16" s="131">
        <f t="shared" si="10"/>
        <v>0.5</v>
      </c>
      <c r="BU16" s="138">
        <f>SUM(BT$15:BT16)*BU$13</f>
        <v>3200</v>
      </c>
      <c r="BV16" s="131">
        <f t="shared" si="11"/>
        <v>0.3333333333333333</v>
      </c>
      <c r="BW16" s="138">
        <f>SUM(BV$15:BV16)*BW$13</f>
        <v>3000</v>
      </c>
      <c r="BX16" s="131"/>
      <c r="BY16" s="131"/>
      <c r="BZ16" s="131">
        <f t="shared" si="12"/>
        <v>0.1</v>
      </c>
      <c r="CA16" s="138">
        <f>SUM(BZ$15:BZ16)*CA$13</f>
        <v>15140</v>
      </c>
      <c r="CB16" s="131">
        <f t="shared" si="13"/>
        <v>0.03571428571428571</v>
      </c>
      <c r="CC16" s="138">
        <f>SUM(CB$15:CB16)*CC$13</f>
        <v>7874.285714285713</v>
      </c>
      <c r="CD16" s="131">
        <f t="shared" si="14"/>
        <v>0.025</v>
      </c>
      <c r="CE16" s="138">
        <f>SUM(CD$15:CD16)*CE$13</f>
        <v>6583.333333333335</v>
      </c>
      <c r="CF16" s="131"/>
      <c r="CG16" s="131"/>
      <c r="CH16" s="130">
        <f t="shared" si="15"/>
        <v>2</v>
      </c>
      <c r="CI16" s="138">
        <f>((BU16+BW16+CA16+CC16+CE16)*BX$13*BY$13*CF$13*CG$13)*0.2</f>
        <v>166506.4499107143</v>
      </c>
      <c r="CJ16" s="145"/>
      <c r="CK16" s="145"/>
      <c r="CL16" s="145"/>
      <c r="CM16" s="145"/>
      <c r="CN16" s="145"/>
      <c r="CO16" s="145"/>
      <c r="CP16" s="145"/>
      <c r="CQ16" s="145"/>
      <c r="CR16" s="145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</row>
    <row r="17" spans="1:108" ht="15.75">
      <c r="A17" s="44"/>
      <c r="B17" s="44"/>
      <c r="C17" s="49" t="str">
        <f>Begriffe!B17</f>
        <v>Schienenschleifen (Intervall)</v>
      </c>
      <c r="D17" s="44"/>
      <c r="E17" s="44"/>
      <c r="F17" s="44"/>
      <c r="G17" s="44"/>
      <c r="H17" s="44"/>
      <c r="I17" s="57">
        <f>BI17</f>
        <v>3</v>
      </c>
      <c r="J17" s="55" t="str">
        <f>J15</f>
        <v>Jahre</v>
      </c>
      <c r="K17" s="44"/>
      <c r="L17" s="44"/>
      <c r="M17" s="44"/>
      <c r="N17" s="153"/>
      <c r="O17" s="151" t="s">
        <v>40</v>
      </c>
      <c r="P17" s="120"/>
      <c r="Q17" s="120"/>
      <c r="R17" s="133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1"/>
      <c r="AE17" s="121"/>
      <c r="AF17" s="121"/>
      <c r="AG17" s="122"/>
      <c r="AH17" s="134">
        <v>4</v>
      </c>
      <c r="AI17" s="130">
        <f t="shared" si="0"/>
        <v>640</v>
      </c>
      <c r="AJ17" s="138">
        <f>SUM(AI$14:AI17)</f>
        <v>2560</v>
      </c>
      <c r="AK17" s="131">
        <f t="shared" si="1"/>
        <v>0.2</v>
      </c>
      <c r="AL17" s="138">
        <f t="shared" si="2"/>
        <v>900</v>
      </c>
      <c r="AM17" s="134"/>
      <c r="AN17" s="134"/>
      <c r="AO17" s="134">
        <f t="shared" si="3"/>
        <v>0.05</v>
      </c>
      <c r="AP17" s="138">
        <f>SUM(AO$14:AO17)*AP$11</f>
        <v>15140</v>
      </c>
      <c r="AQ17" s="131">
        <f t="shared" si="4"/>
        <v>0.025</v>
      </c>
      <c r="AR17" s="138">
        <f>SUM(AQ$14:AQ17)*AR$11</f>
        <v>11024</v>
      </c>
      <c r="AS17" s="131">
        <f t="shared" si="5"/>
        <v>0.016666666666666666</v>
      </c>
      <c r="AT17" s="138">
        <f>SUM(AS$14:AS17)*AT$11</f>
        <v>16777.777777777777</v>
      </c>
      <c r="AU17" s="134"/>
      <c r="AV17" s="134"/>
      <c r="AW17" s="134">
        <f t="shared" si="6"/>
        <v>4</v>
      </c>
      <c r="AX17" s="138">
        <f>((AJ17+AL17+AP17+AR17+AT17)*AM$11*AN$11*AU$11*AV$11)*0.6</f>
        <v>119924.56500288003</v>
      </c>
      <c r="AY17" s="138">
        <f t="shared" si="7"/>
        <v>999038.6994642855</v>
      </c>
      <c r="AZ17" s="138">
        <f t="shared" si="8"/>
        <v>4</v>
      </c>
      <c r="BA17" s="138">
        <f t="shared" si="9"/>
        <v>489531.2316695467</v>
      </c>
      <c r="BB17" s="138">
        <f t="shared" si="9"/>
        <v>999038.6994642855</v>
      </c>
      <c r="BC17" s="122"/>
      <c r="BD17" s="122"/>
      <c r="BE17" s="122"/>
      <c r="BF17" s="122"/>
      <c r="BG17" s="122"/>
      <c r="BH17" s="135">
        <v>3</v>
      </c>
      <c r="BI17" s="123">
        <f>IF(BH17=0,BK17,BH17)</f>
        <v>3</v>
      </c>
      <c r="BJ17" s="122" t="s">
        <v>12</v>
      </c>
      <c r="BK17" s="122" t="s">
        <v>41</v>
      </c>
      <c r="BL17" s="145" t="s">
        <v>42</v>
      </c>
      <c r="BM17" s="145"/>
      <c r="BN17" s="145"/>
      <c r="BO17" s="145"/>
      <c r="BP17" s="145"/>
      <c r="BQ17" s="145"/>
      <c r="BR17" s="145"/>
      <c r="BS17" s="130">
        <v>3</v>
      </c>
      <c r="BT17" s="131">
        <f t="shared" si="10"/>
        <v>0.5</v>
      </c>
      <c r="BU17" s="138">
        <f>SUM(BT$15:BT17)*BU$13</f>
        <v>4800</v>
      </c>
      <c r="BV17" s="131">
        <f t="shared" si="11"/>
        <v>0.3333333333333333</v>
      </c>
      <c r="BW17" s="138">
        <f>SUM(BV$15:BV17)*BW$13</f>
        <v>4500</v>
      </c>
      <c r="BX17" s="131"/>
      <c r="BY17" s="131"/>
      <c r="BZ17" s="131">
        <f t="shared" si="12"/>
        <v>0.1</v>
      </c>
      <c r="CA17" s="138">
        <f>SUM(BZ$15:BZ17)*CA$13</f>
        <v>22710.000000000004</v>
      </c>
      <c r="CB17" s="131">
        <f t="shared" si="13"/>
        <v>0.03571428571428571</v>
      </c>
      <c r="CC17" s="138">
        <f>SUM(CB$15:CB17)*CC$13</f>
        <v>11811.428571428569</v>
      </c>
      <c r="CD17" s="131">
        <f t="shared" si="14"/>
        <v>0.025</v>
      </c>
      <c r="CE17" s="138">
        <f>SUM(CD$15:CD17)*CE$13</f>
        <v>9875.000000000004</v>
      </c>
      <c r="CF17" s="131"/>
      <c r="CG17" s="131"/>
      <c r="CH17" s="130">
        <f t="shared" si="15"/>
        <v>3</v>
      </c>
      <c r="CI17" s="138">
        <f>((BU17+BW17+CA17+CC17+CE17)*BX$13*BY$13*CF$13*CG$13)*0.4</f>
        <v>499519.3497321429</v>
      </c>
      <c r="CJ17" s="145"/>
      <c r="CK17" s="145"/>
      <c r="CL17" s="145"/>
      <c r="CM17" s="145"/>
      <c r="CN17" s="145"/>
      <c r="CO17" s="145"/>
      <c r="CP17" s="145"/>
      <c r="CQ17" s="145"/>
      <c r="CR17" s="145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</row>
    <row r="18" spans="1:108" ht="15.75">
      <c r="A18" s="67"/>
      <c r="B18" s="44"/>
      <c r="C18" s="49"/>
      <c r="D18" s="44"/>
      <c r="E18" s="44"/>
      <c r="F18" s="44"/>
      <c r="G18" s="44"/>
      <c r="H18" s="44"/>
      <c r="I18" s="56"/>
      <c r="J18" s="55"/>
      <c r="K18" s="44"/>
      <c r="L18" s="44"/>
      <c r="M18" s="44"/>
      <c r="N18" s="153"/>
      <c r="O18" s="151" t="s">
        <v>333</v>
      </c>
      <c r="P18" s="120"/>
      <c r="Q18" s="120"/>
      <c r="R18" s="133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1"/>
      <c r="AE18" s="121"/>
      <c r="AF18" s="121"/>
      <c r="AG18" s="122"/>
      <c r="AH18" s="134">
        <v>5</v>
      </c>
      <c r="AI18" s="130">
        <f t="shared" si="0"/>
        <v>640</v>
      </c>
      <c r="AJ18" s="138">
        <f>SUM(AI$14:AI18)</f>
        <v>3200</v>
      </c>
      <c r="AK18" s="131">
        <f t="shared" si="1"/>
        <v>0.2</v>
      </c>
      <c r="AL18" s="138">
        <f t="shared" si="2"/>
        <v>900</v>
      </c>
      <c r="AM18" s="134"/>
      <c r="AN18" s="134"/>
      <c r="AO18" s="134">
        <f t="shared" si="3"/>
        <v>0.05</v>
      </c>
      <c r="AP18" s="138">
        <f>SUM(AO$14:AO18)*AP$11</f>
        <v>18925</v>
      </c>
      <c r="AQ18" s="131">
        <f t="shared" si="4"/>
        <v>0.025</v>
      </c>
      <c r="AR18" s="138">
        <f>SUM(AQ$14:AQ18)*AR$11</f>
        <v>13779.999999999998</v>
      </c>
      <c r="AS18" s="131">
        <f t="shared" si="5"/>
        <v>0.016666666666666666</v>
      </c>
      <c r="AT18" s="138">
        <f>SUM(AS$14:AS18)*AT$11</f>
        <v>20972.222222222223</v>
      </c>
      <c r="AU18" s="134"/>
      <c r="AV18" s="134"/>
      <c r="AW18" s="134">
        <f t="shared" si="6"/>
        <v>5</v>
      </c>
      <c r="AX18" s="138">
        <f>((AJ18+AL18+AP18+AR18+AT18)*AM$11*AN$11*AU$11*AV$11)*0.8</f>
        <v>199098.93036880007</v>
      </c>
      <c r="AY18" s="138">
        <f t="shared" si="7"/>
        <v>1665064.499107143</v>
      </c>
      <c r="AZ18" s="138">
        <f t="shared" si="8"/>
        <v>5</v>
      </c>
      <c r="BA18" s="138">
        <f t="shared" si="9"/>
        <v>568705.5970354667</v>
      </c>
      <c r="BB18" s="138">
        <f t="shared" si="9"/>
        <v>1665064.499107143</v>
      </c>
      <c r="BC18" s="122"/>
      <c r="BD18" s="122"/>
      <c r="BE18" s="122"/>
      <c r="BF18" s="122"/>
      <c r="BG18" s="122"/>
      <c r="BH18" s="135"/>
      <c r="BI18" s="123"/>
      <c r="BJ18" s="122"/>
      <c r="BK18" s="122"/>
      <c r="BL18" s="145"/>
      <c r="BM18" s="145"/>
      <c r="BN18" s="145"/>
      <c r="BO18" s="145"/>
      <c r="BP18" s="145"/>
      <c r="BQ18" s="145"/>
      <c r="BR18" s="145"/>
      <c r="BS18" s="130">
        <v>4</v>
      </c>
      <c r="BT18" s="131">
        <f t="shared" si="10"/>
        <v>0.5</v>
      </c>
      <c r="BU18" s="138">
        <f>SUM(BT$15:BT18)*BU$13</f>
        <v>6400</v>
      </c>
      <c r="BV18" s="131">
        <f t="shared" si="11"/>
        <v>0.3333333333333333</v>
      </c>
      <c r="BW18" s="138">
        <f>SUM(BV$15:BV18)*BW$13</f>
        <v>6000</v>
      </c>
      <c r="BX18" s="131"/>
      <c r="BY18" s="131"/>
      <c r="BZ18" s="131">
        <f t="shared" si="12"/>
        <v>0.1</v>
      </c>
      <c r="CA18" s="138">
        <f>SUM(BZ$15:BZ18)*CA$13</f>
        <v>30280</v>
      </c>
      <c r="CB18" s="131">
        <f t="shared" si="13"/>
        <v>0.03571428571428571</v>
      </c>
      <c r="CC18" s="138">
        <f>SUM(CB$15:CB18)*CC$13</f>
        <v>15748.571428571426</v>
      </c>
      <c r="CD18" s="131">
        <f t="shared" si="14"/>
        <v>0.025</v>
      </c>
      <c r="CE18" s="138">
        <f>SUM(CD$15:CD18)*CE$13</f>
        <v>13166.66666666667</v>
      </c>
      <c r="CF18" s="131"/>
      <c r="CG18" s="131"/>
      <c r="CH18" s="130">
        <f t="shared" si="15"/>
        <v>4</v>
      </c>
      <c r="CI18" s="138">
        <f>((BU18+BW18+CA18+CC18+CE18)*BX$13*BY$13*CF$13*CG$13)*0.6</f>
        <v>999038.6994642855</v>
      </c>
      <c r="CJ18" s="145"/>
      <c r="CK18" s="145"/>
      <c r="CL18" s="145"/>
      <c r="CM18" s="145"/>
      <c r="CN18" s="145"/>
      <c r="CO18" s="145"/>
      <c r="CP18" s="145"/>
      <c r="CQ18" s="145"/>
      <c r="CR18" s="145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ht="15.75">
      <c r="A19" s="44"/>
      <c r="B19" s="44"/>
      <c r="C19" s="49" t="str">
        <f>Begriffe!B19</f>
        <v>Schotterreinigung </v>
      </c>
      <c r="D19" s="44"/>
      <c r="E19" s="44"/>
      <c r="F19" s="44"/>
      <c r="G19" s="44"/>
      <c r="H19" s="44"/>
      <c r="I19" s="57">
        <f>BI19</f>
        <v>10</v>
      </c>
      <c r="J19" s="55" t="str">
        <f>J17</f>
        <v>Jahre</v>
      </c>
      <c r="K19" s="44"/>
      <c r="L19" s="44"/>
      <c r="M19" s="44"/>
      <c r="N19" s="153"/>
      <c r="O19" s="151"/>
      <c r="P19" s="120"/>
      <c r="Q19" s="120"/>
      <c r="R19" s="133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1"/>
      <c r="AE19" s="121"/>
      <c r="AF19" s="121"/>
      <c r="AG19" s="122"/>
      <c r="AH19" s="134">
        <v>6</v>
      </c>
      <c r="AI19" s="130">
        <f t="shared" si="0"/>
        <v>640</v>
      </c>
      <c r="AJ19" s="138">
        <f>SUM(AI$14:AI19)</f>
        <v>3840</v>
      </c>
      <c r="AK19" s="131">
        <f t="shared" si="1"/>
        <v>0.2</v>
      </c>
      <c r="AL19" s="138">
        <f t="shared" si="2"/>
        <v>900</v>
      </c>
      <c r="AM19" s="134"/>
      <c r="AN19" s="134"/>
      <c r="AO19" s="134">
        <f t="shared" si="3"/>
        <v>0.05</v>
      </c>
      <c r="AP19" s="138">
        <f>SUM(AO$14:AO19)*AP$11</f>
        <v>22710</v>
      </c>
      <c r="AQ19" s="131">
        <f t="shared" si="4"/>
        <v>0.025</v>
      </c>
      <c r="AR19" s="138">
        <f>SUM(AQ$14:AQ19)*AR$11</f>
        <v>16535.999999999996</v>
      </c>
      <c r="AS19" s="131">
        <f t="shared" si="5"/>
        <v>0.016666666666666666</v>
      </c>
      <c r="AT19" s="138">
        <f>SUM(AS$14:AS19)*AT$11</f>
        <v>25166.666666666668</v>
      </c>
      <c r="AU19" s="134"/>
      <c r="AV19" s="134"/>
      <c r="AW19" s="134">
        <f t="shared" si="6"/>
        <v>6</v>
      </c>
      <c r="AX19" s="138">
        <f>(AJ19+AL19+AP19+AR19+AT19)*AM$11*AN$11*AU$11*AV$11</f>
        <v>297873.05091720005</v>
      </c>
      <c r="AY19" s="138">
        <f t="shared" si="7"/>
        <v>2497596.7486607134</v>
      </c>
      <c r="AZ19" s="138">
        <f t="shared" si="8"/>
        <v>6</v>
      </c>
      <c r="BA19" s="138">
        <f t="shared" si="9"/>
        <v>667479.7175838668</v>
      </c>
      <c r="BB19" s="138">
        <f t="shared" si="9"/>
        <v>2497596.7486607134</v>
      </c>
      <c r="BC19" s="122"/>
      <c r="BD19" s="122"/>
      <c r="BE19" s="122"/>
      <c r="BF19" s="122"/>
      <c r="BG19" s="122"/>
      <c r="BH19" s="135">
        <v>10</v>
      </c>
      <c r="BI19" s="123">
        <f>IF(BH19=0,BK19,BH19)</f>
        <v>10</v>
      </c>
      <c r="BJ19" s="122" t="s">
        <v>12</v>
      </c>
      <c r="BK19" s="122" t="s">
        <v>41</v>
      </c>
      <c r="BL19" s="145" t="s">
        <v>43</v>
      </c>
      <c r="BM19" s="145"/>
      <c r="BN19" s="145"/>
      <c r="BO19" s="145"/>
      <c r="BP19" s="145"/>
      <c r="BQ19" s="145"/>
      <c r="BR19" s="145"/>
      <c r="BS19" s="130">
        <v>5</v>
      </c>
      <c r="BT19" s="131">
        <f t="shared" si="10"/>
        <v>0.5</v>
      </c>
      <c r="BU19" s="138">
        <f>SUM(BT$15:BT19)*BU$13</f>
        <v>8000</v>
      </c>
      <c r="BV19" s="131">
        <f t="shared" si="11"/>
        <v>0.3333333333333333</v>
      </c>
      <c r="BW19" s="138">
        <f>SUM(BV$15:BV19)*BW$13</f>
        <v>7499.999999999999</v>
      </c>
      <c r="BX19" s="131"/>
      <c r="BY19" s="131"/>
      <c r="BZ19" s="131">
        <f t="shared" si="12"/>
        <v>0.1</v>
      </c>
      <c r="CA19" s="138">
        <f>SUM(BZ$15:BZ19)*CA$13</f>
        <v>37850</v>
      </c>
      <c r="CB19" s="131">
        <f t="shared" si="13"/>
        <v>0.03571428571428571</v>
      </c>
      <c r="CC19" s="138">
        <f>SUM(CB$15:CB19)*CC$13</f>
        <v>19685.71428571428</v>
      </c>
      <c r="CD19" s="131">
        <f t="shared" si="14"/>
        <v>0.025</v>
      </c>
      <c r="CE19" s="138">
        <f>SUM(CD$15:CD19)*CE$13</f>
        <v>16458.333333333336</v>
      </c>
      <c r="CF19" s="131"/>
      <c r="CG19" s="131"/>
      <c r="CH19" s="130">
        <f t="shared" si="15"/>
        <v>5</v>
      </c>
      <c r="CI19" s="138">
        <f>((BU19+BW19+CA19+CC19+CE19)*BX$13*BY$13*CF$13*CG$13)*0.8</f>
        <v>1665064.499107143</v>
      </c>
      <c r="CJ19" s="145"/>
      <c r="CK19" s="145"/>
      <c r="CL19" s="145"/>
      <c r="CM19" s="145"/>
      <c r="CN19" s="145"/>
      <c r="CO19" s="145"/>
      <c r="CP19" s="145"/>
      <c r="CQ19" s="145"/>
      <c r="CR19" s="145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ht="15.75">
      <c r="A20" s="44"/>
      <c r="B20" s="44"/>
      <c r="C20" s="49"/>
      <c r="D20" s="44"/>
      <c r="E20" s="44"/>
      <c r="F20" s="44"/>
      <c r="G20" s="44"/>
      <c r="H20" s="44"/>
      <c r="I20" s="56"/>
      <c r="J20" s="55"/>
      <c r="K20" s="44"/>
      <c r="L20" s="44"/>
      <c r="M20" s="44"/>
      <c r="N20" s="153"/>
      <c r="O20" s="125"/>
      <c r="P20" s="120"/>
      <c r="Q20" s="120"/>
      <c r="R20" s="133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1"/>
      <c r="AE20" s="121"/>
      <c r="AF20" s="121"/>
      <c r="AG20" s="122"/>
      <c r="AH20" s="134">
        <v>7</v>
      </c>
      <c r="AI20" s="130">
        <f t="shared" si="0"/>
        <v>640</v>
      </c>
      <c r="AJ20" s="138">
        <f>SUM(AI$14:AI20)</f>
        <v>4480</v>
      </c>
      <c r="AK20" s="131">
        <f t="shared" si="1"/>
        <v>0.2</v>
      </c>
      <c r="AL20" s="138">
        <f t="shared" si="2"/>
        <v>900</v>
      </c>
      <c r="AM20" s="134"/>
      <c r="AN20" s="134"/>
      <c r="AO20" s="134">
        <f t="shared" si="3"/>
        <v>0.05</v>
      </c>
      <c r="AP20" s="138">
        <f>SUM(AO$14:AO20)*AP$11</f>
        <v>26495</v>
      </c>
      <c r="AQ20" s="131">
        <f t="shared" si="4"/>
        <v>0.025</v>
      </c>
      <c r="AR20" s="138">
        <f>SUM(AQ$14:AQ20)*AR$11</f>
        <v>19291.999999999996</v>
      </c>
      <c r="AS20" s="131">
        <f t="shared" si="5"/>
        <v>0.016666666666666666</v>
      </c>
      <c r="AT20" s="138">
        <f>SUM(AS$14:AS20)*AT$11</f>
        <v>29361.11111111111</v>
      </c>
      <c r="AU20" s="134"/>
      <c r="AV20" s="134"/>
      <c r="AW20" s="134">
        <f t="shared" si="6"/>
        <v>7</v>
      </c>
      <c r="AX20" s="138">
        <f>(AJ20+AL20+AP20+AR20+AT20)*AM$11*AN$11*AU$11*AV$11</f>
        <v>346872.43887340004</v>
      </c>
      <c r="AY20" s="138">
        <f t="shared" si="7"/>
        <v>2913862.8734374996</v>
      </c>
      <c r="AZ20" s="138">
        <f t="shared" si="8"/>
        <v>7</v>
      </c>
      <c r="BA20" s="138">
        <f t="shared" si="9"/>
        <v>716479.1055400667</v>
      </c>
      <c r="BB20" s="138">
        <f t="shared" si="9"/>
        <v>2913862.8734374996</v>
      </c>
      <c r="BC20" s="122"/>
      <c r="BD20" s="122"/>
      <c r="BE20" s="122"/>
      <c r="BF20" s="122"/>
      <c r="BG20" s="122"/>
      <c r="BH20" s="135"/>
      <c r="BI20" s="123"/>
      <c r="BJ20" s="122"/>
      <c r="BK20" s="122"/>
      <c r="BL20" s="145"/>
      <c r="BM20" s="145"/>
      <c r="BN20" s="145"/>
      <c r="BO20" s="145"/>
      <c r="BP20" s="145"/>
      <c r="BQ20" s="145"/>
      <c r="BR20" s="145"/>
      <c r="BS20" s="130">
        <v>6</v>
      </c>
      <c r="BT20" s="131">
        <f t="shared" si="10"/>
        <v>0.5</v>
      </c>
      <c r="BU20" s="138">
        <f>SUM(BT$15:BT20)*BU$13</f>
        <v>9600</v>
      </c>
      <c r="BV20" s="131">
        <f t="shared" si="11"/>
        <v>0.3333333333333333</v>
      </c>
      <c r="BW20" s="138">
        <f>SUM(BV$15:BV20)*BW$13</f>
        <v>8999.999999999998</v>
      </c>
      <c r="BX20" s="131"/>
      <c r="BY20" s="131"/>
      <c r="BZ20" s="131">
        <f t="shared" si="12"/>
        <v>0.1</v>
      </c>
      <c r="CA20" s="138">
        <f>SUM(BZ$15:BZ20)*CA$13</f>
        <v>45420</v>
      </c>
      <c r="CB20" s="131">
        <f t="shared" si="13"/>
        <v>0.03571428571428571</v>
      </c>
      <c r="CC20" s="138">
        <f>SUM(CB$15:CB20)*CC$13</f>
        <v>23622.857142857134</v>
      </c>
      <c r="CD20" s="131">
        <f t="shared" si="14"/>
        <v>0.025</v>
      </c>
      <c r="CE20" s="138">
        <f>SUM(CD$15:CD20)*CE$13</f>
        <v>19750.000000000004</v>
      </c>
      <c r="CF20" s="131"/>
      <c r="CG20" s="131"/>
      <c r="CH20" s="130">
        <f t="shared" si="15"/>
        <v>6</v>
      </c>
      <c r="CI20" s="138">
        <f>(BU20+BW20+CA20+CC20+CE20)*BX$13*BY$13*CF$13*CG$13</f>
        <v>2497596.7486607134</v>
      </c>
      <c r="CJ20" s="145"/>
      <c r="CK20" s="145"/>
      <c r="CL20" s="145"/>
      <c r="CM20" s="145"/>
      <c r="CN20" s="145"/>
      <c r="CO20" s="145"/>
      <c r="CP20" s="145"/>
      <c r="CQ20" s="145"/>
      <c r="CR20" s="145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15.75">
      <c r="A21" s="44"/>
      <c r="B21" s="44"/>
      <c r="C21" s="49" t="str">
        <f>Begriffe!B21</f>
        <v>Schotteraustausch </v>
      </c>
      <c r="D21" s="44"/>
      <c r="E21" s="44"/>
      <c r="F21" s="44"/>
      <c r="G21" s="44"/>
      <c r="H21" s="44"/>
      <c r="I21" s="57">
        <f>BH21</f>
        <v>28</v>
      </c>
      <c r="J21" s="55" t="str">
        <f>J19</f>
        <v>Jahre</v>
      </c>
      <c r="K21" s="44"/>
      <c r="L21" s="44"/>
      <c r="M21" s="44"/>
      <c r="N21" s="66"/>
      <c r="O21" s="113"/>
      <c r="P21" s="120"/>
      <c r="Q21" s="120"/>
      <c r="R21" s="133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1"/>
      <c r="AE21" s="121"/>
      <c r="AF21" s="121"/>
      <c r="AG21" s="122"/>
      <c r="AH21" s="134">
        <v>8</v>
      </c>
      <c r="AI21" s="130">
        <f t="shared" si="0"/>
        <v>640</v>
      </c>
      <c r="AJ21" s="138">
        <f>SUM(AI$14:AI21)</f>
        <v>5120</v>
      </c>
      <c r="AK21" s="131">
        <f t="shared" si="1"/>
        <v>0.2</v>
      </c>
      <c r="AL21" s="138">
        <f t="shared" si="2"/>
        <v>900</v>
      </c>
      <c r="AM21" s="134"/>
      <c r="AN21" s="134"/>
      <c r="AO21" s="134">
        <f t="shared" si="3"/>
        <v>0.05</v>
      </c>
      <c r="AP21" s="138">
        <f>SUM(AO$14:AO21)*AP$11</f>
        <v>30279.999999999996</v>
      </c>
      <c r="AQ21" s="131">
        <f t="shared" si="4"/>
        <v>0.025</v>
      </c>
      <c r="AR21" s="138">
        <f>SUM(AQ$14:AQ21)*AR$11</f>
        <v>22047.999999999996</v>
      </c>
      <c r="AS21" s="131">
        <f t="shared" si="5"/>
        <v>0.016666666666666666</v>
      </c>
      <c r="AT21" s="138">
        <f>SUM(AS$14:AS21)*AT$11</f>
        <v>33555.555555555555</v>
      </c>
      <c r="AU21" s="134"/>
      <c r="AV21" s="134"/>
      <c r="AW21" s="134">
        <f t="shared" si="6"/>
        <v>8</v>
      </c>
      <c r="AX21" s="138">
        <f>(AJ21+AL21+AP21+AR21+AT21)*AM$11*AN$11*AU$11*AV$11</f>
        <v>395871.82682960015</v>
      </c>
      <c r="AY21" s="138">
        <f t="shared" si="7"/>
        <v>3330128.9982142854</v>
      </c>
      <c r="AZ21" s="138">
        <f t="shared" si="8"/>
        <v>8</v>
      </c>
      <c r="BA21" s="138">
        <f t="shared" si="9"/>
        <v>765478.4934962669</v>
      </c>
      <c r="BB21" s="138">
        <f t="shared" si="9"/>
        <v>3330128.9982142854</v>
      </c>
      <c r="BC21" s="122"/>
      <c r="BD21" s="122"/>
      <c r="BE21" s="122"/>
      <c r="BF21" s="122"/>
      <c r="BG21" s="122"/>
      <c r="BH21" s="135">
        <v>28</v>
      </c>
      <c r="BI21" s="123"/>
      <c r="BJ21" s="122"/>
      <c r="BK21" s="122"/>
      <c r="BL21" s="145"/>
      <c r="BM21" s="145"/>
      <c r="BN21" s="145"/>
      <c r="BO21" s="145"/>
      <c r="BP21" s="145"/>
      <c r="BQ21" s="145"/>
      <c r="BR21" s="145"/>
      <c r="BS21" s="130">
        <v>7</v>
      </c>
      <c r="BT21" s="131">
        <f t="shared" si="10"/>
        <v>0.5</v>
      </c>
      <c r="BU21" s="138">
        <f>SUM(BT$15:BT21)*BU$13</f>
        <v>11200</v>
      </c>
      <c r="BV21" s="131">
        <f t="shared" si="11"/>
        <v>0.3333333333333333</v>
      </c>
      <c r="BW21" s="138">
        <f>SUM(BV$15:BV21)*BW$13</f>
        <v>10499.999999999998</v>
      </c>
      <c r="BX21" s="131"/>
      <c r="BY21" s="131"/>
      <c r="BZ21" s="131">
        <f t="shared" si="12"/>
        <v>0.1</v>
      </c>
      <c r="CA21" s="138">
        <f>SUM(BZ$15:BZ21)*CA$13</f>
        <v>52990</v>
      </c>
      <c r="CB21" s="131">
        <f t="shared" si="13"/>
        <v>0.03571428571428571</v>
      </c>
      <c r="CC21" s="138">
        <f>SUM(CB$15:CB21)*CC$13</f>
        <v>27559.99999999999</v>
      </c>
      <c r="CD21" s="131">
        <f t="shared" si="14"/>
        <v>0.025</v>
      </c>
      <c r="CE21" s="138">
        <f>SUM(CD$15:CD21)*CE$13</f>
        <v>23041.666666666668</v>
      </c>
      <c r="CF21" s="131"/>
      <c r="CG21" s="131"/>
      <c r="CH21" s="130">
        <f t="shared" si="15"/>
        <v>7</v>
      </c>
      <c r="CI21" s="138">
        <f>(BU21+BW21+CA21+CC21+CE21)*BX$13*BY$13*CF$13*CG$13</f>
        <v>2913862.8734374996</v>
      </c>
      <c r="CJ21" s="145"/>
      <c r="CK21" s="145"/>
      <c r="CL21" s="145"/>
      <c r="CM21" s="145"/>
      <c r="CN21" s="145"/>
      <c r="CO21" s="145"/>
      <c r="CP21" s="145"/>
      <c r="CQ21" s="145"/>
      <c r="CR21" s="145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ht="15.75">
      <c r="A22" s="44"/>
      <c r="B22" s="44"/>
      <c r="C22" s="60" t="str">
        <f>Begriffe!B22</f>
        <v>(Schottererneuerung)</v>
      </c>
      <c r="D22" s="61"/>
      <c r="E22" s="61"/>
      <c r="F22" s="61"/>
      <c r="G22" s="61"/>
      <c r="H22" s="61"/>
      <c r="I22" s="56"/>
      <c r="J22" s="55"/>
      <c r="K22" s="44"/>
      <c r="L22" s="44"/>
      <c r="M22" s="44"/>
      <c r="N22" s="66"/>
      <c r="O22" s="113"/>
      <c r="P22" s="120"/>
      <c r="Q22" s="120"/>
      <c r="R22" s="133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1"/>
      <c r="AE22" s="121"/>
      <c r="AF22" s="121"/>
      <c r="AG22" s="122"/>
      <c r="AH22" s="134">
        <v>9</v>
      </c>
      <c r="AI22" s="130">
        <f t="shared" si="0"/>
        <v>640</v>
      </c>
      <c r="AJ22" s="138">
        <f>SUM(AI$14:AI22)</f>
        <v>5760</v>
      </c>
      <c r="AK22" s="131">
        <f t="shared" si="1"/>
        <v>0.2</v>
      </c>
      <c r="AL22" s="138">
        <f t="shared" si="2"/>
        <v>900</v>
      </c>
      <c r="AM22" s="134"/>
      <c r="AN22" s="134"/>
      <c r="AO22" s="134">
        <f t="shared" si="3"/>
        <v>0.05</v>
      </c>
      <c r="AP22" s="138">
        <f>SUM(AO$14:AO22)*AP$11</f>
        <v>34065</v>
      </c>
      <c r="AQ22" s="131">
        <f t="shared" si="4"/>
        <v>0.025</v>
      </c>
      <c r="AR22" s="138">
        <f>SUM(AQ$14:AQ22)*AR$11</f>
        <v>24803.999999999993</v>
      </c>
      <c r="AS22" s="131">
        <f t="shared" si="5"/>
        <v>0.016666666666666666</v>
      </c>
      <c r="AT22" s="138">
        <f>SUM(AS$14:AS22)*AT$11</f>
        <v>37750</v>
      </c>
      <c r="AU22" s="134"/>
      <c r="AV22" s="134"/>
      <c r="AW22" s="134">
        <f t="shared" si="6"/>
        <v>9</v>
      </c>
      <c r="AX22" s="138">
        <f>(AJ22+AL22+AP22+AR22+AT22)*AM$11*AN$11*AU$11*AV$11</f>
        <v>444871.21478580014</v>
      </c>
      <c r="AY22" s="138">
        <f t="shared" si="7"/>
        <v>3746395.122991071</v>
      </c>
      <c r="AZ22" s="138">
        <f t="shared" si="8"/>
        <v>9</v>
      </c>
      <c r="BA22" s="138">
        <f t="shared" si="9"/>
        <v>814477.8814524668</v>
      </c>
      <c r="BB22" s="138">
        <f t="shared" si="9"/>
        <v>3746395.122991071</v>
      </c>
      <c r="BC22" s="122"/>
      <c r="BD22" s="122"/>
      <c r="BE22" s="122"/>
      <c r="BF22" s="122"/>
      <c r="BG22" s="122"/>
      <c r="BH22" s="135"/>
      <c r="BI22" s="123"/>
      <c r="BJ22" s="122"/>
      <c r="BK22" s="122"/>
      <c r="BL22" s="145"/>
      <c r="BM22" s="145"/>
      <c r="BN22" s="145"/>
      <c r="BO22" s="145"/>
      <c r="BP22" s="145"/>
      <c r="BQ22" s="145"/>
      <c r="BR22" s="145"/>
      <c r="BS22" s="130">
        <v>8</v>
      </c>
      <c r="BT22" s="131">
        <f t="shared" si="10"/>
        <v>0.5</v>
      </c>
      <c r="BU22" s="138">
        <f>SUM(BT$15:BT22)*BU$13</f>
        <v>12800</v>
      </c>
      <c r="BV22" s="131">
        <f t="shared" si="11"/>
        <v>0.3333333333333333</v>
      </c>
      <c r="BW22" s="138">
        <f>SUM(BV$15:BV22)*BW$13</f>
        <v>12000</v>
      </c>
      <c r="BX22" s="131"/>
      <c r="BY22" s="131"/>
      <c r="BZ22" s="131">
        <f t="shared" si="12"/>
        <v>0.1</v>
      </c>
      <c r="CA22" s="138">
        <f>SUM(BZ$15:BZ22)*CA$13</f>
        <v>60559.99999999999</v>
      </c>
      <c r="CB22" s="131">
        <f t="shared" si="13"/>
        <v>0.03571428571428571</v>
      </c>
      <c r="CC22" s="138">
        <f>SUM(CB$15:CB22)*CC$13</f>
        <v>31497.142857142844</v>
      </c>
      <c r="CD22" s="131">
        <f t="shared" si="14"/>
        <v>0.025</v>
      </c>
      <c r="CE22" s="138">
        <f>SUM(CD$15:CD22)*CE$13</f>
        <v>26333.333333333336</v>
      </c>
      <c r="CF22" s="131"/>
      <c r="CG22" s="131"/>
      <c r="CH22" s="130">
        <f t="shared" si="15"/>
        <v>8</v>
      </c>
      <c r="CI22" s="138">
        <f>(BU22+BW22+CA22+CC22+CE22)*BX$13*BY$13*CF$13*CG$13</f>
        <v>3330128.9982142854</v>
      </c>
      <c r="CJ22" s="145"/>
      <c r="CK22" s="145"/>
      <c r="CL22" s="145"/>
      <c r="CM22" s="145"/>
      <c r="CN22" s="145"/>
      <c r="CO22" s="145"/>
      <c r="CP22" s="145"/>
      <c r="CQ22" s="145"/>
      <c r="CR22" s="145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</row>
    <row r="23" spans="1:108" ht="15.75">
      <c r="A23" s="44"/>
      <c r="B23" s="44"/>
      <c r="C23" s="49" t="str">
        <f>Begriffe!B23</f>
        <v>Schwellenaustausch</v>
      </c>
      <c r="D23" s="62"/>
      <c r="E23" s="62"/>
      <c r="F23" s="62"/>
      <c r="G23" s="62"/>
      <c r="H23" s="62"/>
      <c r="I23" s="57">
        <f>BI23</f>
        <v>40</v>
      </c>
      <c r="J23" s="55" t="str">
        <f>J21</f>
        <v>Jahre</v>
      </c>
      <c r="K23" s="44"/>
      <c r="L23" s="44"/>
      <c r="M23" s="44"/>
      <c r="N23" s="66"/>
      <c r="O23" s="113"/>
      <c r="P23" s="120"/>
      <c r="Q23" s="120"/>
      <c r="R23" s="133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1"/>
      <c r="AE23" s="121"/>
      <c r="AF23" s="121"/>
      <c r="AG23" s="122"/>
      <c r="AH23" s="134">
        <v>10</v>
      </c>
      <c r="AI23" s="130">
        <f t="shared" si="0"/>
        <v>640</v>
      </c>
      <c r="AJ23" s="138">
        <f>SUM(AI$14:AI23)</f>
        <v>6400</v>
      </c>
      <c r="AK23" s="131">
        <f t="shared" si="1"/>
        <v>0.2</v>
      </c>
      <c r="AL23" s="138">
        <f t="shared" si="2"/>
        <v>900</v>
      </c>
      <c r="AM23" s="134"/>
      <c r="AN23" s="134"/>
      <c r="AO23" s="134">
        <f t="shared" si="3"/>
        <v>0.05</v>
      </c>
      <c r="AP23" s="138">
        <f>SUM(AO$14:AO23)*AP$11</f>
        <v>37849.99999999999</v>
      </c>
      <c r="AQ23" s="131">
        <f t="shared" si="4"/>
        <v>0.025</v>
      </c>
      <c r="AR23" s="138">
        <f>SUM(AQ$14:AQ23)*AR$11</f>
        <v>27559.999999999993</v>
      </c>
      <c r="AS23" s="131">
        <f t="shared" si="5"/>
        <v>0.016666666666666666</v>
      </c>
      <c r="AT23" s="138">
        <f>SUM(AS$14:AS23)*AT$11</f>
        <v>41944.444444444445</v>
      </c>
      <c r="AU23" s="134"/>
      <c r="AV23" s="134"/>
      <c r="AW23" s="134">
        <f t="shared" si="6"/>
        <v>10</v>
      </c>
      <c r="AX23" s="138">
        <f>(AJ23+AL23+AP23+AR23+AT23)*AM$11*AN$11*AU$11*AV$11</f>
        <v>493870.60274200013</v>
      </c>
      <c r="AY23" s="138">
        <f t="shared" si="7"/>
        <v>4162661.247767857</v>
      </c>
      <c r="AZ23" s="138">
        <f t="shared" si="8"/>
        <v>10</v>
      </c>
      <c r="BA23" s="138">
        <f t="shared" si="9"/>
        <v>863477.2694086668</v>
      </c>
      <c r="BB23" s="138">
        <f t="shared" si="9"/>
        <v>4162661.247767857</v>
      </c>
      <c r="BC23" s="122"/>
      <c r="BD23" s="122"/>
      <c r="BE23" s="122"/>
      <c r="BF23" s="122"/>
      <c r="BG23" s="122"/>
      <c r="BH23" s="135">
        <v>40</v>
      </c>
      <c r="BI23" s="123">
        <f>IF(BH23=0,BK23,BH23)</f>
        <v>40</v>
      </c>
      <c r="BJ23" s="122" t="s">
        <v>12</v>
      </c>
      <c r="BK23" s="122" t="s">
        <v>41</v>
      </c>
      <c r="BL23" s="145" t="s">
        <v>44</v>
      </c>
      <c r="BM23" s="145"/>
      <c r="BN23" s="145"/>
      <c r="BO23" s="145"/>
      <c r="BP23" s="145"/>
      <c r="BQ23" s="145"/>
      <c r="BR23" s="145"/>
      <c r="BS23" s="130">
        <v>9</v>
      </c>
      <c r="BT23" s="131">
        <f t="shared" si="10"/>
        <v>0.5</v>
      </c>
      <c r="BU23" s="138">
        <f>SUM(BT$15:BT23)*BU$13</f>
        <v>14400</v>
      </c>
      <c r="BV23" s="131">
        <f t="shared" si="11"/>
        <v>0.3333333333333333</v>
      </c>
      <c r="BW23" s="138">
        <f>SUM(BV$15:BV23)*BW$13</f>
        <v>13500</v>
      </c>
      <c r="BX23" s="131"/>
      <c r="BY23" s="131"/>
      <c r="BZ23" s="131">
        <f t="shared" si="12"/>
        <v>0.1</v>
      </c>
      <c r="CA23" s="138">
        <f>SUM(BZ$15:BZ23)*CA$13</f>
        <v>68130</v>
      </c>
      <c r="CB23" s="131">
        <f t="shared" si="13"/>
        <v>0.03571428571428571</v>
      </c>
      <c r="CC23" s="138">
        <f>SUM(CB$15:CB23)*CC$13</f>
        <v>35434.2857142857</v>
      </c>
      <c r="CD23" s="131">
        <f t="shared" si="14"/>
        <v>0.025</v>
      </c>
      <c r="CE23" s="138">
        <f>SUM(CD$15:CD23)*CE$13</f>
        <v>29625</v>
      </c>
      <c r="CF23" s="131"/>
      <c r="CG23" s="131"/>
      <c r="CH23" s="130">
        <f t="shared" si="15"/>
        <v>9</v>
      </c>
      <c r="CI23" s="138">
        <f>(BU23+BW23+CA23+CC23+CE23)*BX$13*BY$13*CF$13*CG$13</f>
        <v>3746395.122991071</v>
      </c>
      <c r="CJ23" s="145"/>
      <c r="CK23" s="145"/>
      <c r="CL23" s="145"/>
      <c r="CM23" s="145"/>
      <c r="CN23" s="145"/>
      <c r="CO23" s="145"/>
      <c r="CP23" s="145"/>
      <c r="CQ23" s="145"/>
      <c r="CR23" s="145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</row>
    <row r="24" spans="1:108" ht="10.5" customHeight="1">
      <c r="A24" s="44"/>
      <c r="B24" s="44"/>
      <c r="C24" s="45"/>
      <c r="D24" s="62"/>
      <c r="E24" s="62"/>
      <c r="F24" s="62"/>
      <c r="G24" s="62"/>
      <c r="H24" s="62"/>
      <c r="I24" s="57"/>
      <c r="J24" s="55"/>
      <c r="K24" s="44"/>
      <c r="L24" s="44"/>
      <c r="M24" s="44"/>
      <c r="N24" s="66"/>
      <c r="O24" s="113"/>
      <c r="P24" s="120"/>
      <c r="Q24" s="120"/>
      <c r="R24" s="133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1"/>
      <c r="AE24" s="121"/>
      <c r="AF24" s="121"/>
      <c r="AG24" s="122"/>
      <c r="AH24" s="134">
        <v>11</v>
      </c>
      <c r="AI24" s="130">
        <f aca="true" t="shared" si="16" ref="AI24:AI45">1/AI$11*AJ$11</f>
        <v>640</v>
      </c>
      <c r="AJ24" s="138">
        <f>SUM(AI$14:AI24)</f>
        <v>7040</v>
      </c>
      <c r="AK24" s="131">
        <f aca="true" t="shared" si="17" ref="AK24:AK45">IF(AK$11=0,0,1/AK$11)</f>
        <v>0.2</v>
      </c>
      <c r="AL24" s="138">
        <f aca="true" t="shared" si="18" ref="AL24:AL45">AL$11*AK24</f>
        <v>900</v>
      </c>
      <c r="AM24" s="134"/>
      <c r="AN24" s="134"/>
      <c r="AO24" s="134">
        <f aca="true" t="shared" si="19" ref="AO24:AO45">IF(AO$11=0,0,1/AO$11)</f>
        <v>0.05</v>
      </c>
      <c r="AP24" s="138">
        <f>SUM(AO$14:AO24)*AP$11</f>
        <v>41634.99999999999</v>
      </c>
      <c r="AQ24" s="131">
        <f aca="true" t="shared" si="20" ref="AQ24:AQ45">IF(AQ$11=0,0,1/AQ$11)</f>
        <v>0.025</v>
      </c>
      <c r="AR24" s="138">
        <f>SUM(AQ$14:AQ24)*AR$11</f>
        <v>30315.999999999993</v>
      </c>
      <c r="AS24" s="131">
        <f aca="true" t="shared" si="21" ref="AS24:AS45">IF(AS$11=0,0,1/AS$11)</f>
        <v>0.016666666666666666</v>
      </c>
      <c r="AT24" s="138">
        <f>SUM(AS$14:AS24)*AT$11</f>
        <v>46138.88888888889</v>
      </c>
      <c r="AU24" s="134"/>
      <c r="AV24" s="134"/>
      <c r="AW24" s="134">
        <f t="shared" si="6"/>
        <v>11</v>
      </c>
      <c r="AX24" s="138">
        <f aca="true" t="shared" si="22" ref="AX24:AX45">(AJ24+AL24+AP24+AR24+AT24)*AM$11*AN$11*AU$11*AV$11</f>
        <v>542869.9906982001</v>
      </c>
      <c r="AY24" s="138">
        <f t="shared" si="7"/>
        <v>4578927.372544642</v>
      </c>
      <c r="AZ24" s="138">
        <f t="shared" si="8"/>
        <v>11</v>
      </c>
      <c r="BA24" s="138">
        <f aca="true" t="shared" si="23" ref="BA24:BB33">BA$13+AX24</f>
        <v>912476.6573648667</v>
      </c>
      <c r="BB24" s="138">
        <f t="shared" si="23"/>
        <v>4578927.372544642</v>
      </c>
      <c r="BC24" s="122"/>
      <c r="BD24" s="122"/>
      <c r="BE24" s="122"/>
      <c r="BF24" s="122"/>
      <c r="BG24" s="122"/>
      <c r="BH24" s="135"/>
      <c r="BI24" s="123"/>
      <c r="BJ24" s="122"/>
      <c r="BK24" s="122"/>
      <c r="BL24" s="145"/>
      <c r="BM24" s="145"/>
      <c r="BN24" s="145"/>
      <c r="BO24" s="145"/>
      <c r="BP24" s="145"/>
      <c r="BQ24" s="145"/>
      <c r="BR24" s="145"/>
      <c r="BS24" s="130">
        <v>10</v>
      </c>
      <c r="BT24" s="131">
        <f aca="true" t="shared" si="24" ref="BT24:BT44">1/BT$13</f>
        <v>0.5</v>
      </c>
      <c r="BU24" s="138">
        <f>SUM(BT$15:BT24)*BU$13</f>
        <v>16000</v>
      </c>
      <c r="BV24" s="131">
        <f aca="true" t="shared" si="25" ref="BV24:BV44">IF(BV$13=0,0,1/BV$13)</f>
        <v>0.3333333333333333</v>
      </c>
      <c r="BW24" s="138">
        <f>SUM(BV$15:BV24)*BW$13</f>
        <v>15000</v>
      </c>
      <c r="BX24" s="131"/>
      <c r="BY24" s="131"/>
      <c r="BZ24" s="131">
        <f aca="true" t="shared" si="26" ref="BZ24:BZ44">IF(BZ$13=0,0,1/BZ$13)</f>
        <v>0.1</v>
      </c>
      <c r="CA24" s="138">
        <f>SUM(BZ$15:BZ24)*CA$13</f>
        <v>75699.99999999999</v>
      </c>
      <c r="CB24" s="131">
        <f aca="true" t="shared" si="27" ref="CB24:CB44">IF(CB$13=0,0,1/CB$13)</f>
        <v>0.03571428571428571</v>
      </c>
      <c r="CC24" s="138">
        <f>SUM(CB$15:CB24)*CC$13</f>
        <v>39371.42857142856</v>
      </c>
      <c r="CD24" s="131">
        <f aca="true" t="shared" si="28" ref="CD24:CD44">IF(CD$13=0,0,1/CD$13)</f>
        <v>0.025</v>
      </c>
      <c r="CE24" s="138">
        <f>SUM(CD$15:CD24)*CE$13</f>
        <v>32916.666666666664</v>
      </c>
      <c r="CF24" s="131"/>
      <c r="CG24" s="131"/>
      <c r="CH24" s="130">
        <f t="shared" si="15"/>
        <v>10</v>
      </c>
      <c r="CI24" s="138">
        <f aca="true" t="shared" si="29" ref="CI24:CI44">(BU24+BW24+CA24+CC24+CE24)*BX$13*BY$13*CF$13*CG$13</f>
        <v>4162661.247767857</v>
      </c>
      <c r="CJ24" s="145"/>
      <c r="CK24" s="145"/>
      <c r="CL24" s="145"/>
      <c r="CM24" s="145"/>
      <c r="CN24" s="145"/>
      <c r="CO24" s="145"/>
      <c r="CP24" s="145"/>
      <c r="CQ24" s="145"/>
      <c r="CR24" s="145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</row>
    <row r="25" spans="1:108" ht="19.5" customHeight="1">
      <c r="A25" s="44"/>
      <c r="B25" s="44"/>
      <c r="C25" s="45"/>
      <c r="D25" s="62"/>
      <c r="E25" s="62"/>
      <c r="F25" s="62"/>
      <c r="G25" s="62"/>
      <c r="H25" s="62"/>
      <c r="I25" s="63"/>
      <c r="J25" s="44"/>
      <c r="K25" s="44"/>
      <c r="L25" s="44"/>
      <c r="M25" s="44"/>
      <c r="N25" s="66"/>
      <c r="O25" s="113"/>
      <c r="P25" s="120"/>
      <c r="Q25" s="120"/>
      <c r="R25" s="133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1"/>
      <c r="AE25" s="121"/>
      <c r="AF25" s="121"/>
      <c r="AG25" s="122"/>
      <c r="AH25" s="134">
        <v>12</v>
      </c>
      <c r="AI25" s="130">
        <f t="shared" si="16"/>
        <v>640</v>
      </c>
      <c r="AJ25" s="138">
        <f>SUM(AI$14:AI25)</f>
        <v>7680</v>
      </c>
      <c r="AK25" s="131">
        <f t="shared" si="17"/>
        <v>0.2</v>
      </c>
      <c r="AL25" s="138">
        <f t="shared" si="18"/>
        <v>900</v>
      </c>
      <c r="AM25" s="134"/>
      <c r="AN25" s="134"/>
      <c r="AO25" s="134">
        <f t="shared" si="19"/>
        <v>0.05</v>
      </c>
      <c r="AP25" s="138">
        <f>SUM(AO$14:AO25)*AP$11</f>
        <v>45420</v>
      </c>
      <c r="AQ25" s="131">
        <f t="shared" si="20"/>
        <v>0.025</v>
      </c>
      <c r="AR25" s="138">
        <f>SUM(AQ$14:AQ25)*AR$11</f>
        <v>33071.99999999999</v>
      </c>
      <c r="AS25" s="131">
        <f t="shared" si="21"/>
        <v>0.016666666666666666</v>
      </c>
      <c r="AT25" s="138">
        <f>SUM(AS$14:AS25)*AT$11</f>
        <v>50333.333333333336</v>
      </c>
      <c r="AU25" s="134"/>
      <c r="AV25" s="134"/>
      <c r="AW25" s="134">
        <f t="shared" si="6"/>
        <v>12</v>
      </c>
      <c r="AX25" s="138">
        <f t="shared" si="22"/>
        <v>591869.3786544001</v>
      </c>
      <c r="AY25" s="138">
        <f t="shared" si="7"/>
        <v>4995193.497321427</v>
      </c>
      <c r="AZ25" s="138">
        <f t="shared" si="8"/>
        <v>12</v>
      </c>
      <c r="BA25" s="138">
        <f t="shared" si="23"/>
        <v>961476.0453210669</v>
      </c>
      <c r="BB25" s="138">
        <f t="shared" si="23"/>
        <v>4995193.497321427</v>
      </c>
      <c r="BC25" s="122"/>
      <c r="BD25" s="122"/>
      <c r="BE25" s="122"/>
      <c r="BF25" s="122"/>
      <c r="BG25" s="122"/>
      <c r="BH25" s="135"/>
      <c r="BI25" s="123"/>
      <c r="BJ25" s="122"/>
      <c r="BK25" s="122"/>
      <c r="BL25" s="145"/>
      <c r="BM25" s="145"/>
      <c r="BN25" s="145"/>
      <c r="BO25" s="145"/>
      <c r="BP25" s="145"/>
      <c r="BQ25" s="145"/>
      <c r="BR25" s="145"/>
      <c r="BS25" s="130">
        <v>11</v>
      </c>
      <c r="BT25" s="131">
        <f t="shared" si="24"/>
        <v>0.5</v>
      </c>
      <c r="BU25" s="138">
        <f>SUM(BT$15:BT25)*BU$13</f>
        <v>17600</v>
      </c>
      <c r="BV25" s="131">
        <f t="shared" si="25"/>
        <v>0.3333333333333333</v>
      </c>
      <c r="BW25" s="138">
        <f>SUM(BV$15:BV25)*BW$13</f>
        <v>16500</v>
      </c>
      <c r="BX25" s="131"/>
      <c r="BY25" s="131"/>
      <c r="BZ25" s="131">
        <f t="shared" si="26"/>
        <v>0.1</v>
      </c>
      <c r="CA25" s="138">
        <f>SUM(BZ$15:BZ25)*CA$13</f>
        <v>83269.99999999999</v>
      </c>
      <c r="CB25" s="131">
        <f t="shared" si="27"/>
        <v>0.03571428571428571</v>
      </c>
      <c r="CC25" s="138">
        <f>SUM(CB$15:CB25)*CC$13</f>
        <v>43308.57142857141</v>
      </c>
      <c r="CD25" s="131">
        <f t="shared" si="28"/>
        <v>0.025</v>
      </c>
      <c r="CE25" s="138">
        <f>SUM(CD$15:CD25)*CE$13</f>
        <v>36208.333333333336</v>
      </c>
      <c r="CF25" s="131"/>
      <c r="CG25" s="131"/>
      <c r="CH25" s="130">
        <f t="shared" si="15"/>
        <v>11</v>
      </c>
      <c r="CI25" s="138">
        <f t="shared" si="29"/>
        <v>4578927.372544642</v>
      </c>
      <c r="CJ25" s="145"/>
      <c r="CK25" s="145"/>
      <c r="CL25" s="145"/>
      <c r="CM25" s="145"/>
      <c r="CN25" s="145"/>
      <c r="CO25" s="145"/>
      <c r="CP25" s="145"/>
      <c r="CQ25" s="145"/>
      <c r="CR25" s="145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</row>
    <row r="26" spans="1:108" ht="38.25" customHeight="1">
      <c r="A26" s="68"/>
      <c r="B26" s="94"/>
      <c r="C26" s="95" t="str">
        <f>Begriffe!B20</f>
        <v>Material- und Leistungspreise (Deutschland)</v>
      </c>
      <c r="D26" s="96"/>
      <c r="E26" s="96"/>
      <c r="F26" s="96"/>
      <c r="G26" s="96"/>
      <c r="H26" s="97"/>
      <c r="I26" s="96"/>
      <c r="J26" s="97"/>
      <c r="K26" s="97"/>
      <c r="L26" s="96"/>
      <c r="M26" s="68"/>
      <c r="N26" s="34"/>
      <c r="O26" s="113"/>
      <c r="P26" s="120"/>
      <c r="Q26" s="120"/>
      <c r="R26" s="133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1"/>
      <c r="AE26" s="121"/>
      <c r="AF26" s="121"/>
      <c r="AG26" s="122"/>
      <c r="AH26" s="134">
        <v>13</v>
      </c>
      <c r="AI26" s="130">
        <f t="shared" si="16"/>
        <v>640</v>
      </c>
      <c r="AJ26" s="138">
        <f>SUM(AI$14:AI26)</f>
        <v>8320</v>
      </c>
      <c r="AK26" s="131">
        <f t="shared" si="17"/>
        <v>0.2</v>
      </c>
      <c r="AL26" s="138">
        <f t="shared" si="18"/>
        <v>900</v>
      </c>
      <c r="AM26" s="134"/>
      <c r="AN26" s="134"/>
      <c r="AO26" s="134">
        <f t="shared" si="19"/>
        <v>0.05</v>
      </c>
      <c r="AP26" s="138">
        <f>SUM(AO$14:AO26)*AP$11</f>
        <v>49205</v>
      </c>
      <c r="AQ26" s="131">
        <f t="shared" si="20"/>
        <v>0.025</v>
      </c>
      <c r="AR26" s="138">
        <f>SUM(AQ$14:AQ26)*AR$11</f>
        <v>35828</v>
      </c>
      <c r="AS26" s="131">
        <f t="shared" si="21"/>
        <v>0.016666666666666666</v>
      </c>
      <c r="AT26" s="138">
        <f>SUM(AS$14:AS26)*AT$11</f>
        <v>54527.777777777774</v>
      </c>
      <c r="AU26" s="134"/>
      <c r="AV26" s="134"/>
      <c r="AW26" s="134">
        <f t="shared" si="6"/>
        <v>13</v>
      </c>
      <c r="AX26" s="138">
        <f t="shared" si="22"/>
        <v>640868.7666106</v>
      </c>
      <c r="AY26" s="138">
        <f t="shared" si="7"/>
        <v>5411459.622098215</v>
      </c>
      <c r="AZ26" s="138">
        <f t="shared" si="8"/>
        <v>13</v>
      </c>
      <c r="BA26" s="138">
        <f t="shared" si="23"/>
        <v>1010475.4332772668</v>
      </c>
      <c r="BB26" s="138">
        <f t="shared" si="23"/>
        <v>5411459.622098215</v>
      </c>
      <c r="BC26" s="122"/>
      <c r="BD26" s="122"/>
      <c r="BE26" s="122"/>
      <c r="BF26" s="122"/>
      <c r="BG26" s="122"/>
      <c r="BH26" s="135"/>
      <c r="BI26" s="123"/>
      <c r="BJ26" s="122"/>
      <c r="BK26" s="122"/>
      <c r="BL26" s="145"/>
      <c r="BM26" s="145"/>
      <c r="BN26" s="145"/>
      <c r="BO26" s="145"/>
      <c r="BP26" s="145"/>
      <c r="BQ26" s="145"/>
      <c r="BR26" s="145"/>
      <c r="BS26" s="130">
        <v>12</v>
      </c>
      <c r="BT26" s="131">
        <f t="shared" si="24"/>
        <v>0.5</v>
      </c>
      <c r="BU26" s="138">
        <f>SUM(BT$15:BT26)*BU$13</f>
        <v>19200</v>
      </c>
      <c r="BV26" s="131">
        <f t="shared" si="25"/>
        <v>0.3333333333333333</v>
      </c>
      <c r="BW26" s="138">
        <f>SUM(BV$15:BV26)*BW$13</f>
        <v>18000</v>
      </c>
      <c r="BX26" s="131"/>
      <c r="BY26" s="131"/>
      <c r="BZ26" s="131">
        <f t="shared" si="26"/>
        <v>0.1</v>
      </c>
      <c r="CA26" s="138">
        <f>SUM(BZ$15:BZ26)*CA$13</f>
        <v>90840</v>
      </c>
      <c r="CB26" s="131">
        <f t="shared" si="27"/>
        <v>0.03571428571428571</v>
      </c>
      <c r="CC26" s="138">
        <f>SUM(CB$15:CB26)*CC$13</f>
        <v>47245.71428571427</v>
      </c>
      <c r="CD26" s="131">
        <f t="shared" si="28"/>
        <v>0.025</v>
      </c>
      <c r="CE26" s="138">
        <f>SUM(CD$15:CD26)*CE$13</f>
        <v>39500.00000000001</v>
      </c>
      <c r="CF26" s="131"/>
      <c r="CG26" s="131"/>
      <c r="CH26" s="130">
        <f t="shared" si="15"/>
        <v>12</v>
      </c>
      <c r="CI26" s="138">
        <f t="shared" si="29"/>
        <v>4995193.497321427</v>
      </c>
      <c r="CJ26" s="145"/>
      <c r="CK26" s="145"/>
      <c r="CL26" s="145"/>
      <c r="CM26" s="145"/>
      <c r="CN26" s="145"/>
      <c r="CO26" s="145"/>
      <c r="CP26" s="145"/>
      <c r="CQ26" s="145"/>
      <c r="CR26" s="145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</row>
    <row r="27" spans="1:108" ht="2.25" customHeight="1">
      <c r="A27" s="47"/>
      <c r="B27" s="47"/>
      <c r="C27" s="83"/>
      <c r="D27" s="84"/>
      <c r="E27" s="84"/>
      <c r="F27" s="84"/>
      <c r="G27" s="84"/>
      <c r="H27" s="84"/>
      <c r="I27" s="85"/>
      <c r="J27" s="47"/>
      <c r="K27" s="47"/>
      <c r="L27" s="47"/>
      <c r="M27" s="47"/>
      <c r="N27" s="34"/>
      <c r="O27" s="40"/>
      <c r="P27" s="116"/>
      <c r="Q27" s="116"/>
      <c r="R27" s="141"/>
      <c r="S27" s="142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1"/>
      <c r="AE27" s="121"/>
      <c r="AF27" s="121"/>
      <c r="AG27" s="122"/>
      <c r="AH27" s="134">
        <v>14</v>
      </c>
      <c r="AI27" s="130">
        <f t="shared" si="16"/>
        <v>640</v>
      </c>
      <c r="AJ27" s="138">
        <f>SUM(AI$14:AI27)</f>
        <v>8960</v>
      </c>
      <c r="AK27" s="131">
        <f t="shared" si="17"/>
        <v>0.2</v>
      </c>
      <c r="AL27" s="138">
        <f t="shared" si="18"/>
        <v>900</v>
      </c>
      <c r="AM27" s="134"/>
      <c r="AN27" s="134"/>
      <c r="AO27" s="134">
        <f t="shared" si="19"/>
        <v>0.05</v>
      </c>
      <c r="AP27" s="138">
        <f>SUM(AO$14:AO27)*AP$11</f>
        <v>52990.00000000001</v>
      </c>
      <c r="AQ27" s="131">
        <f t="shared" si="20"/>
        <v>0.025</v>
      </c>
      <c r="AR27" s="138">
        <f>SUM(AQ$14:AQ27)*AR$11</f>
        <v>38584</v>
      </c>
      <c r="AS27" s="131">
        <f t="shared" si="21"/>
        <v>0.016666666666666666</v>
      </c>
      <c r="AT27" s="138">
        <f>SUM(AS$14:AS27)*AT$11</f>
        <v>58722.22222222222</v>
      </c>
      <c r="AU27" s="134"/>
      <c r="AV27" s="134"/>
      <c r="AW27" s="134">
        <f t="shared" si="6"/>
        <v>14</v>
      </c>
      <c r="AX27" s="138">
        <f t="shared" si="22"/>
        <v>689868.1545668002</v>
      </c>
      <c r="AY27" s="138">
        <f t="shared" si="7"/>
        <v>5827725.746874999</v>
      </c>
      <c r="AZ27" s="138">
        <f t="shared" si="8"/>
        <v>14</v>
      </c>
      <c r="BA27" s="138">
        <f t="shared" si="23"/>
        <v>1059474.821233467</v>
      </c>
      <c r="BB27" s="138">
        <f t="shared" si="23"/>
        <v>5827725.746874999</v>
      </c>
      <c r="BC27" s="122"/>
      <c r="BD27" s="122"/>
      <c r="BE27" s="122"/>
      <c r="BF27" s="122"/>
      <c r="BG27" s="122"/>
      <c r="BH27" s="135"/>
      <c r="BI27" s="123"/>
      <c r="BJ27" s="122"/>
      <c r="BK27" s="122"/>
      <c r="BL27" s="145"/>
      <c r="BM27" s="145"/>
      <c r="BN27" s="145"/>
      <c r="BO27" s="145"/>
      <c r="BP27" s="145"/>
      <c r="BQ27" s="145"/>
      <c r="BR27" s="145"/>
      <c r="BS27" s="130">
        <v>13</v>
      </c>
      <c r="BT27" s="131">
        <f t="shared" si="24"/>
        <v>0.5</v>
      </c>
      <c r="BU27" s="138">
        <f>SUM(BT$15:BT27)*BU$13</f>
        <v>20800</v>
      </c>
      <c r="BV27" s="131">
        <f t="shared" si="25"/>
        <v>0.3333333333333333</v>
      </c>
      <c r="BW27" s="138">
        <f>SUM(BV$15:BV27)*BW$13</f>
        <v>19500</v>
      </c>
      <c r="BX27" s="131"/>
      <c r="BY27" s="131"/>
      <c r="BZ27" s="131">
        <f t="shared" si="26"/>
        <v>0.1</v>
      </c>
      <c r="CA27" s="138">
        <f>SUM(BZ$15:BZ27)*CA$13</f>
        <v>98410</v>
      </c>
      <c r="CB27" s="131">
        <f t="shared" si="27"/>
        <v>0.03571428571428571</v>
      </c>
      <c r="CC27" s="138">
        <f>SUM(CB$15:CB27)*CC$13</f>
        <v>51182.85714285712</v>
      </c>
      <c r="CD27" s="131">
        <f t="shared" si="28"/>
        <v>0.025</v>
      </c>
      <c r="CE27" s="138">
        <f>SUM(CD$15:CD27)*CE$13</f>
        <v>42791.66666666667</v>
      </c>
      <c r="CF27" s="131"/>
      <c r="CG27" s="131"/>
      <c r="CH27" s="130">
        <f t="shared" si="15"/>
        <v>13</v>
      </c>
      <c r="CI27" s="138">
        <f t="shared" si="29"/>
        <v>5411459.622098215</v>
      </c>
      <c r="CJ27" s="145"/>
      <c r="CK27" s="145"/>
      <c r="CL27" s="145"/>
      <c r="CM27" s="145"/>
      <c r="CN27" s="145"/>
      <c r="CO27" s="145"/>
      <c r="CP27" s="145"/>
      <c r="CQ27" s="145"/>
      <c r="CR27" s="145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</row>
    <row r="28" spans="1:108" ht="2.25" customHeight="1">
      <c r="A28" s="47"/>
      <c r="B28" s="47"/>
      <c r="C28" s="83"/>
      <c r="D28" s="84"/>
      <c r="E28" s="84"/>
      <c r="F28" s="84"/>
      <c r="G28" s="84"/>
      <c r="H28" s="84"/>
      <c r="I28" s="85"/>
      <c r="J28" s="47"/>
      <c r="K28" s="47"/>
      <c r="L28" s="47"/>
      <c r="M28" s="47"/>
      <c r="N28" s="34"/>
      <c r="O28" s="40"/>
      <c r="P28" s="116"/>
      <c r="Q28" s="116"/>
      <c r="R28" s="141"/>
      <c r="S28" s="142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1"/>
      <c r="AE28" s="121"/>
      <c r="AF28" s="121"/>
      <c r="AG28" s="122"/>
      <c r="AH28" s="134">
        <v>15</v>
      </c>
      <c r="AI28" s="130">
        <f t="shared" si="16"/>
        <v>640</v>
      </c>
      <c r="AJ28" s="138">
        <f>SUM(AI$14:AI28)</f>
        <v>9600</v>
      </c>
      <c r="AK28" s="131">
        <f t="shared" si="17"/>
        <v>0.2</v>
      </c>
      <c r="AL28" s="138">
        <f t="shared" si="18"/>
        <v>900</v>
      </c>
      <c r="AM28" s="134"/>
      <c r="AN28" s="134"/>
      <c r="AO28" s="134">
        <f t="shared" si="19"/>
        <v>0.05</v>
      </c>
      <c r="AP28" s="138">
        <f>SUM(AO$14:AO28)*AP$11</f>
        <v>56775.00000000001</v>
      </c>
      <c r="AQ28" s="131">
        <f t="shared" si="20"/>
        <v>0.025</v>
      </c>
      <c r="AR28" s="138">
        <f>SUM(AQ$14:AQ28)*AR$11</f>
        <v>41340</v>
      </c>
      <c r="AS28" s="131">
        <f t="shared" si="21"/>
        <v>0.016666666666666666</v>
      </c>
      <c r="AT28" s="138">
        <f>SUM(AS$14:AS28)*AT$11</f>
        <v>62916.666666666664</v>
      </c>
      <c r="AU28" s="134"/>
      <c r="AV28" s="134"/>
      <c r="AW28" s="134">
        <f t="shared" si="6"/>
        <v>15</v>
      </c>
      <c r="AX28" s="138">
        <f t="shared" si="22"/>
        <v>738867.542523</v>
      </c>
      <c r="AY28" s="138">
        <f t="shared" si="7"/>
        <v>6243991.8716517845</v>
      </c>
      <c r="AZ28" s="138">
        <f t="shared" si="8"/>
        <v>15</v>
      </c>
      <c r="BA28" s="138">
        <f t="shared" si="23"/>
        <v>1108474.2091896667</v>
      </c>
      <c r="BB28" s="138">
        <f t="shared" si="23"/>
        <v>6243991.8716517845</v>
      </c>
      <c r="BC28" s="122"/>
      <c r="BD28" s="122"/>
      <c r="BE28" s="122"/>
      <c r="BF28" s="122"/>
      <c r="BG28" s="122"/>
      <c r="BH28" s="135"/>
      <c r="BI28" s="123"/>
      <c r="BJ28" s="122"/>
      <c r="BK28" s="122"/>
      <c r="BL28" s="145"/>
      <c r="BM28" s="145"/>
      <c r="BN28" s="145"/>
      <c r="BO28" s="145"/>
      <c r="BP28" s="145"/>
      <c r="BQ28" s="145"/>
      <c r="BR28" s="145"/>
      <c r="BS28" s="130">
        <v>14</v>
      </c>
      <c r="BT28" s="131">
        <f t="shared" si="24"/>
        <v>0.5</v>
      </c>
      <c r="BU28" s="138">
        <f>SUM(BT$15:BT28)*BU$13</f>
        <v>22400</v>
      </c>
      <c r="BV28" s="131">
        <f t="shared" si="25"/>
        <v>0.3333333333333333</v>
      </c>
      <c r="BW28" s="138">
        <f>SUM(BV$15:BV28)*BW$13</f>
        <v>20999.999999999996</v>
      </c>
      <c r="BX28" s="131"/>
      <c r="BY28" s="131"/>
      <c r="BZ28" s="131">
        <f t="shared" si="26"/>
        <v>0.1</v>
      </c>
      <c r="CA28" s="138">
        <f>SUM(BZ$15:BZ28)*CA$13</f>
        <v>105980.00000000001</v>
      </c>
      <c r="CB28" s="131">
        <f t="shared" si="27"/>
        <v>0.03571428571428571</v>
      </c>
      <c r="CC28" s="138">
        <f>SUM(CB$15:CB28)*CC$13</f>
        <v>55119.99999999997</v>
      </c>
      <c r="CD28" s="131">
        <f t="shared" si="28"/>
        <v>0.025</v>
      </c>
      <c r="CE28" s="138">
        <f>SUM(CD$15:CD28)*CE$13</f>
        <v>46083.33333333334</v>
      </c>
      <c r="CF28" s="131"/>
      <c r="CG28" s="131"/>
      <c r="CH28" s="130">
        <f t="shared" si="15"/>
        <v>14</v>
      </c>
      <c r="CI28" s="138">
        <f t="shared" si="29"/>
        <v>5827725.746874999</v>
      </c>
      <c r="CJ28" s="145"/>
      <c r="CK28" s="145"/>
      <c r="CL28" s="145"/>
      <c r="CM28" s="145"/>
      <c r="CN28" s="145"/>
      <c r="CO28" s="145"/>
      <c r="CP28" s="145"/>
      <c r="CQ28" s="145"/>
      <c r="CR28" s="145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</row>
    <row r="29" spans="1:108" ht="2.25" customHeight="1">
      <c r="A29" s="47"/>
      <c r="B29" s="47"/>
      <c r="C29" s="83"/>
      <c r="D29" s="84"/>
      <c r="E29" s="84"/>
      <c r="F29" s="84"/>
      <c r="G29" s="84"/>
      <c r="H29" s="84"/>
      <c r="I29" s="85"/>
      <c r="J29" s="47"/>
      <c r="K29" s="47"/>
      <c r="L29" s="47"/>
      <c r="M29" s="47"/>
      <c r="N29" s="34"/>
      <c r="O29" s="40"/>
      <c r="P29" s="116"/>
      <c r="Q29" s="116"/>
      <c r="R29" s="141"/>
      <c r="S29" s="142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1"/>
      <c r="AE29" s="121"/>
      <c r="AF29" s="121"/>
      <c r="AG29" s="122"/>
      <c r="AH29" s="134">
        <v>16</v>
      </c>
      <c r="AI29" s="130">
        <f t="shared" si="16"/>
        <v>640</v>
      </c>
      <c r="AJ29" s="138">
        <f>SUM(AI$14:AI29)</f>
        <v>10240</v>
      </c>
      <c r="AK29" s="131">
        <f t="shared" si="17"/>
        <v>0.2</v>
      </c>
      <c r="AL29" s="138">
        <f t="shared" si="18"/>
        <v>900</v>
      </c>
      <c r="AM29" s="134"/>
      <c r="AN29" s="134"/>
      <c r="AO29" s="134">
        <f t="shared" si="19"/>
        <v>0.05</v>
      </c>
      <c r="AP29" s="138">
        <f>SUM(AO$14:AO29)*AP$11</f>
        <v>60560.000000000015</v>
      </c>
      <c r="AQ29" s="131">
        <f t="shared" si="20"/>
        <v>0.025</v>
      </c>
      <c r="AR29" s="138">
        <f>SUM(AQ$14:AQ29)*AR$11</f>
        <v>44096</v>
      </c>
      <c r="AS29" s="131">
        <f t="shared" si="21"/>
        <v>0.016666666666666666</v>
      </c>
      <c r="AT29" s="138">
        <f>SUM(AS$14:AS29)*AT$11</f>
        <v>67111.11111111111</v>
      </c>
      <c r="AU29" s="134"/>
      <c r="AV29" s="134"/>
      <c r="AW29" s="134">
        <f t="shared" si="6"/>
        <v>16</v>
      </c>
      <c r="AX29" s="138">
        <f t="shared" si="22"/>
        <v>787866.9304792002</v>
      </c>
      <c r="AY29" s="138">
        <f t="shared" si="7"/>
        <v>6660257.996428572</v>
      </c>
      <c r="AZ29" s="138">
        <f t="shared" si="8"/>
        <v>16</v>
      </c>
      <c r="BA29" s="138">
        <f t="shared" si="23"/>
        <v>1157473.5971458668</v>
      </c>
      <c r="BB29" s="138">
        <f t="shared" si="23"/>
        <v>6660257.996428572</v>
      </c>
      <c r="BC29" s="122"/>
      <c r="BD29" s="122"/>
      <c r="BE29" s="122"/>
      <c r="BF29" s="122"/>
      <c r="BG29" s="122"/>
      <c r="BH29" s="135"/>
      <c r="BI29" s="123"/>
      <c r="BJ29" s="122"/>
      <c r="BK29" s="122"/>
      <c r="BL29" s="145"/>
      <c r="BM29" s="145"/>
      <c r="BN29" s="145"/>
      <c r="BO29" s="145"/>
      <c r="BP29" s="145"/>
      <c r="BQ29" s="145"/>
      <c r="BR29" s="145"/>
      <c r="BS29" s="130">
        <v>15</v>
      </c>
      <c r="BT29" s="131">
        <f t="shared" si="24"/>
        <v>0.5</v>
      </c>
      <c r="BU29" s="138">
        <f>SUM(BT$15:BT29)*BU$13</f>
        <v>24000</v>
      </c>
      <c r="BV29" s="131">
        <f t="shared" si="25"/>
        <v>0.3333333333333333</v>
      </c>
      <c r="BW29" s="138">
        <f>SUM(BV$15:BV29)*BW$13</f>
        <v>22499.999999999996</v>
      </c>
      <c r="BX29" s="131"/>
      <c r="BY29" s="131"/>
      <c r="BZ29" s="131">
        <f t="shared" si="26"/>
        <v>0.1</v>
      </c>
      <c r="CA29" s="138">
        <f>SUM(BZ$15:BZ29)*CA$13</f>
        <v>113550.00000000001</v>
      </c>
      <c r="CB29" s="131">
        <f t="shared" si="27"/>
        <v>0.03571428571428571</v>
      </c>
      <c r="CC29" s="138">
        <f>SUM(CB$15:CB29)*CC$13</f>
        <v>59057.14285714283</v>
      </c>
      <c r="CD29" s="131">
        <f t="shared" si="28"/>
        <v>0.025</v>
      </c>
      <c r="CE29" s="138">
        <f>SUM(CD$15:CD29)*CE$13</f>
        <v>49375.000000000015</v>
      </c>
      <c r="CF29" s="131"/>
      <c r="CG29" s="131"/>
      <c r="CH29" s="130">
        <f t="shared" si="15"/>
        <v>15</v>
      </c>
      <c r="CI29" s="138">
        <f t="shared" si="29"/>
        <v>6243991.8716517845</v>
      </c>
      <c r="CJ29" s="145"/>
      <c r="CK29" s="145"/>
      <c r="CL29" s="145"/>
      <c r="CM29" s="145"/>
      <c r="CN29" s="145"/>
      <c r="CO29" s="145"/>
      <c r="CP29" s="145"/>
      <c r="CQ29" s="145"/>
      <c r="CR29" s="145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</row>
    <row r="30" spans="1:108" ht="2.25" customHeight="1">
      <c r="A30" s="47"/>
      <c r="B30" s="47"/>
      <c r="C30" s="83"/>
      <c r="D30" s="84"/>
      <c r="E30" s="84"/>
      <c r="F30" s="84"/>
      <c r="G30" s="84"/>
      <c r="H30" s="84"/>
      <c r="I30" s="85"/>
      <c r="J30" s="47"/>
      <c r="K30" s="47"/>
      <c r="L30" s="47"/>
      <c r="M30" s="47"/>
      <c r="N30" s="34"/>
      <c r="O30" s="40"/>
      <c r="P30" s="116"/>
      <c r="Q30" s="116"/>
      <c r="R30" s="141"/>
      <c r="S30" s="142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1"/>
      <c r="AE30" s="121"/>
      <c r="AF30" s="121"/>
      <c r="AG30" s="122"/>
      <c r="AH30" s="134">
        <v>17</v>
      </c>
      <c r="AI30" s="130">
        <f t="shared" si="16"/>
        <v>640</v>
      </c>
      <c r="AJ30" s="138">
        <f>SUM(AI$14:AI30)</f>
        <v>10880</v>
      </c>
      <c r="AK30" s="131">
        <f t="shared" si="17"/>
        <v>0.2</v>
      </c>
      <c r="AL30" s="138">
        <f t="shared" si="18"/>
        <v>900</v>
      </c>
      <c r="AM30" s="134"/>
      <c r="AN30" s="134"/>
      <c r="AO30" s="134">
        <f t="shared" si="19"/>
        <v>0.05</v>
      </c>
      <c r="AP30" s="138">
        <f>SUM(AO$14:AO30)*AP$11</f>
        <v>64345.000000000015</v>
      </c>
      <c r="AQ30" s="131">
        <f t="shared" si="20"/>
        <v>0.025</v>
      </c>
      <c r="AR30" s="138">
        <f>SUM(AQ$14:AQ30)*AR$11</f>
        <v>46852.00000000001</v>
      </c>
      <c r="AS30" s="131">
        <f t="shared" si="21"/>
        <v>0.016666666666666666</v>
      </c>
      <c r="AT30" s="138">
        <f>SUM(AS$14:AS30)*AT$11</f>
        <v>71305.55555555556</v>
      </c>
      <c r="AU30" s="134"/>
      <c r="AV30" s="134"/>
      <c r="AW30" s="134">
        <f t="shared" si="6"/>
        <v>17</v>
      </c>
      <c r="AX30" s="138">
        <f t="shared" si="22"/>
        <v>836866.3184354004</v>
      </c>
      <c r="AY30" s="138">
        <f t="shared" si="7"/>
        <v>7076524.121205358</v>
      </c>
      <c r="AZ30" s="138">
        <f t="shared" si="8"/>
        <v>17</v>
      </c>
      <c r="BA30" s="138">
        <f t="shared" si="23"/>
        <v>1206472.985102067</v>
      </c>
      <c r="BB30" s="138">
        <f t="shared" si="23"/>
        <v>7076524.121205358</v>
      </c>
      <c r="BC30" s="122"/>
      <c r="BD30" s="122"/>
      <c r="BE30" s="122"/>
      <c r="BF30" s="122"/>
      <c r="BG30" s="122"/>
      <c r="BH30" s="135"/>
      <c r="BI30" s="123"/>
      <c r="BJ30" s="122"/>
      <c r="BK30" s="122"/>
      <c r="BL30" s="145"/>
      <c r="BM30" s="145"/>
      <c r="BN30" s="145"/>
      <c r="BO30" s="145"/>
      <c r="BP30" s="145"/>
      <c r="BQ30" s="145"/>
      <c r="BR30" s="145"/>
      <c r="BS30" s="130">
        <v>16</v>
      </c>
      <c r="BT30" s="131">
        <f t="shared" si="24"/>
        <v>0.5</v>
      </c>
      <c r="BU30" s="138">
        <f>SUM(BT$15:BT30)*BU$13</f>
        <v>25600</v>
      </c>
      <c r="BV30" s="131">
        <f t="shared" si="25"/>
        <v>0.3333333333333333</v>
      </c>
      <c r="BW30" s="138">
        <f>SUM(BV$15:BV30)*BW$13</f>
        <v>23999.999999999996</v>
      </c>
      <c r="BX30" s="131"/>
      <c r="BY30" s="131"/>
      <c r="BZ30" s="131">
        <f t="shared" si="26"/>
        <v>0.1</v>
      </c>
      <c r="CA30" s="138">
        <f>SUM(BZ$15:BZ30)*CA$13</f>
        <v>121120.00000000003</v>
      </c>
      <c r="CB30" s="131">
        <f t="shared" si="27"/>
        <v>0.03571428571428571</v>
      </c>
      <c r="CC30" s="138">
        <f>SUM(CB$15:CB30)*CC$13</f>
        <v>62994.28571428569</v>
      </c>
      <c r="CD30" s="131">
        <f t="shared" si="28"/>
        <v>0.025</v>
      </c>
      <c r="CE30" s="138">
        <f>SUM(CD$15:CD30)*CE$13</f>
        <v>52666.666666666686</v>
      </c>
      <c r="CF30" s="131"/>
      <c r="CG30" s="131"/>
      <c r="CH30" s="130">
        <f t="shared" si="15"/>
        <v>16</v>
      </c>
      <c r="CI30" s="138">
        <f t="shared" si="29"/>
        <v>6660257.996428572</v>
      </c>
      <c r="CJ30" s="145"/>
      <c r="CK30" s="145"/>
      <c r="CL30" s="145"/>
      <c r="CM30" s="145"/>
      <c r="CN30" s="145"/>
      <c r="CO30" s="145"/>
      <c r="CP30" s="145"/>
      <c r="CQ30" s="145"/>
      <c r="CR30" s="145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</row>
    <row r="31" spans="1:108" ht="2.25" customHeight="1">
      <c r="A31" s="47"/>
      <c r="B31" s="47"/>
      <c r="C31" s="83"/>
      <c r="D31" s="84"/>
      <c r="E31" s="84"/>
      <c r="F31" s="84"/>
      <c r="G31" s="84"/>
      <c r="H31" s="84"/>
      <c r="I31" s="85"/>
      <c r="J31" s="47"/>
      <c r="K31" s="47"/>
      <c r="L31" s="47"/>
      <c r="M31" s="47"/>
      <c r="N31" s="34"/>
      <c r="O31" s="40"/>
      <c r="P31" s="116"/>
      <c r="Q31" s="116"/>
      <c r="R31" s="141"/>
      <c r="S31" s="142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1"/>
      <c r="AE31" s="121"/>
      <c r="AF31" s="121"/>
      <c r="AG31" s="122"/>
      <c r="AH31" s="134">
        <v>18</v>
      </c>
      <c r="AI31" s="130">
        <f t="shared" si="16"/>
        <v>640</v>
      </c>
      <c r="AJ31" s="138">
        <f>SUM(AI$14:AI31)</f>
        <v>11520</v>
      </c>
      <c r="AK31" s="131">
        <f t="shared" si="17"/>
        <v>0.2</v>
      </c>
      <c r="AL31" s="138">
        <f t="shared" si="18"/>
        <v>900</v>
      </c>
      <c r="AM31" s="134"/>
      <c r="AN31" s="134"/>
      <c r="AO31" s="134">
        <f t="shared" si="19"/>
        <v>0.05</v>
      </c>
      <c r="AP31" s="138">
        <f>SUM(AO$14:AO31)*AP$11</f>
        <v>68130.00000000001</v>
      </c>
      <c r="AQ31" s="131">
        <f t="shared" si="20"/>
        <v>0.025</v>
      </c>
      <c r="AR31" s="138">
        <f>SUM(AQ$14:AQ31)*AR$11</f>
        <v>49608.00000000001</v>
      </c>
      <c r="AS31" s="131">
        <f t="shared" si="21"/>
        <v>0.016666666666666666</v>
      </c>
      <c r="AT31" s="138">
        <f>SUM(AS$14:AS31)*AT$11</f>
        <v>75500</v>
      </c>
      <c r="AU31" s="134"/>
      <c r="AV31" s="134"/>
      <c r="AW31" s="134">
        <f t="shared" si="6"/>
        <v>18</v>
      </c>
      <c r="AX31" s="138">
        <f t="shared" si="22"/>
        <v>885865.7063916003</v>
      </c>
      <c r="AY31" s="138">
        <f t="shared" si="7"/>
        <v>7492790.245982142</v>
      </c>
      <c r="AZ31" s="138">
        <f t="shared" si="8"/>
        <v>18</v>
      </c>
      <c r="BA31" s="138">
        <f t="shared" si="23"/>
        <v>1255472.373058267</v>
      </c>
      <c r="BB31" s="138">
        <f t="shared" si="23"/>
        <v>7492790.245982142</v>
      </c>
      <c r="BC31" s="122"/>
      <c r="BD31" s="122"/>
      <c r="BE31" s="122"/>
      <c r="BF31" s="122"/>
      <c r="BG31" s="122"/>
      <c r="BH31" s="135"/>
      <c r="BI31" s="123"/>
      <c r="BJ31" s="122"/>
      <c r="BK31" s="122"/>
      <c r="BL31" s="145"/>
      <c r="BM31" s="145"/>
      <c r="BN31" s="145"/>
      <c r="BO31" s="145"/>
      <c r="BP31" s="145"/>
      <c r="BQ31" s="145"/>
      <c r="BR31" s="145"/>
      <c r="BS31" s="130">
        <v>17</v>
      </c>
      <c r="BT31" s="131">
        <f t="shared" si="24"/>
        <v>0.5</v>
      </c>
      <c r="BU31" s="138">
        <f>SUM(BT$15:BT31)*BU$13</f>
        <v>27200</v>
      </c>
      <c r="BV31" s="131">
        <f t="shared" si="25"/>
        <v>0.3333333333333333</v>
      </c>
      <c r="BW31" s="138">
        <f>SUM(BV$15:BV31)*BW$13</f>
        <v>25499.999999999993</v>
      </c>
      <c r="BX31" s="131"/>
      <c r="BY31" s="131"/>
      <c r="BZ31" s="131">
        <f t="shared" si="26"/>
        <v>0.1</v>
      </c>
      <c r="CA31" s="138">
        <f>SUM(BZ$15:BZ31)*CA$13</f>
        <v>128690.00000000003</v>
      </c>
      <c r="CB31" s="131">
        <f t="shared" si="27"/>
        <v>0.03571428571428571</v>
      </c>
      <c r="CC31" s="138">
        <f>SUM(CB$15:CB31)*CC$13</f>
        <v>66931.42857142855</v>
      </c>
      <c r="CD31" s="131">
        <f t="shared" si="28"/>
        <v>0.025</v>
      </c>
      <c r="CE31" s="138">
        <f>SUM(CD$15:CD31)*CE$13</f>
        <v>55958.33333333336</v>
      </c>
      <c r="CF31" s="131"/>
      <c r="CG31" s="131"/>
      <c r="CH31" s="130">
        <f t="shared" si="15"/>
        <v>17</v>
      </c>
      <c r="CI31" s="138">
        <f t="shared" si="29"/>
        <v>7076524.121205358</v>
      </c>
      <c r="CJ31" s="145"/>
      <c r="CK31" s="145"/>
      <c r="CL31" s="145"/>
      <c r="CM31" s="145"/>
      <c r="CN31" s="145"/>
      <c r="CO31" s="145"/>
      <c r="CP31" s="145"/>
      <c r="CQ31" s="145"/>
      <c r="CR31" s="145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</row>
    <row r="32" spans="1:108" ht="15.75">
      <c r="A32" s="47"/>
      <c r="B32" s="47"/>
      <c r="C32" s="83" t="str">
        <f>Begriffe!B27</f>
        <v>Inlandpreise 1)</v>
      </c>
      <c r="D32" s="84"/>
      <c r="E32" s="86" t="str">
        <f>Begriffe!B33</f>
        <v>Richten / Stopfen</v>
      </c>
      <c r="F32" s="84"/>
      <c r="G32" s="84"/>
      <c r="H32" s="87">
        <f>3200</f>
        <v>3200</v>
      </c>
      <c r="I32" s="88" t="str">
        <f>Begriffe!B46</f>
        <v> € / km</v>
      </c>
      <c r="J32" s="47"/>
      <c r="K32" s="47"/>
      <c r="L32" s="47"/>
      <c r="M32" s="47"/>
      <c r="N32" s="34"/>
      <c r="O32" s="40"/>
      <c r="P32" s="116"/>
      <c r="Q32" s="116"/>
      <c r="R32" s="141"/>
      <c r="S32" s="142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1"/>
      <c r="AE32" s="121"/>
      <c r="AF32" s="121"/>
      <c r="AG32" s="122"/>
      <c r="AH32" s="134">
        <v>19</v>
      </c>
      <c r="AI32" s="130">
        <f t="shared" si="16"/>
        <v>640</v>
      </c>
      <c r="AJ32" s="138">
        <f>SUM(AI$14:AI32)</f>
        <v>12160</v>
      </c>
      <c r="AK32" s="131">
        <f t="shared" si="17"/>
        <v>0.2</v>
      </c>
      <c r="AL32" s="138">
        <f t="shared" si="18"/>
        <v>900</v>
      </c>
      <c r="AM32" s="134"/>
      <c r="AN32" s="134"/>
      <c r="AO32" s="134">
        <f t="shared" si="19"/>
        <v>0.05</v>
      </c>
      <c r="AP32" s="138">
        <f>SUM(AO$14:AO32)*AP$11</f>
        <v>71915.00000000003</v>
      </c>
      <c r="AQ32" s="131">
        <f t="shared" si="20"/>
        <v>0.025</v>
      </c>
      <c r="AR32" s="138">
        <f>SUM(AQ$14:AQ32)*AR$11</f>
        <v>52364.00000000001</v>
      </c>
      <c r="AS32" s="131">
        <f t="shared" si="21"/>
        <v>0.016666666666666666</v>
      </c>
      <c r="AT32" s="138">
        <f>SUM(AS$14:AS32)*AT$11</f>
        <v>79694.44444444445</v>
      </c>
      <c r="AU32" s="134"/>
      <c r="AV32" s="134"/>
      <c r="AW32" s="134">
        <f t="shared" si="6"/>
        <v>19</v>
      </c>
      <c r="AX32" s="138">
        <f t="shared" si="22"/>
        <v>934865.0943478006</v>
      </c>
      <c r="AY32" s="138">
        <f t="shared" si="7"/>
        <v>7909056.37075893</v>
      </c>
      <c r="AZ32" s="138">
        <f t="shared" si="8"/>
        <v>19</v>
      </c>
      <c r="BA32" s="138">
        <f t="shared" si="23"/>
        <v>1304471.7610144673</v>
      </c>
      <c r="BB32" s="138">
        <f t="shared" si="23"/>
        <v>7909056.37075893</v>
      </c>
      <c r="BC32" s="122"/>
      <c r="BD32" s="122"/>
      <c r="BE32" s="122"/>
      <c r="BF32" s="122"/>
      <c r="BG32" s="122"/>
      <c r="BH32" s="135"/>
      <c r="BI32" s="123"/>
      <c r="BJ32" s="122"/>
      <c r="BK32" s="122"/>
      <c r="BL32" s="145"/>
      <c r="BM32" s="145"/>
      <c r="BN32" s="145"/>
      <c r="BO32" s="145"/>
      <c r="BP32" s="145"/>
      <c r="BQ32" s="145"/>
      <c r="BR32" s="145"/>
      <c r="BS32" s="130">
        <v>18</v>
      </c>
      <c r="BT32" s="131">
        <f t="shared" si="24"/>
        <v>0.5</v>
      </c>
      <c r="BU32" s="138">
        <f>SUM(BT$15:BT32)*BU$13</f>
        <v>28800</v>
      </c>
      <c r="BV32" s="131">
        <f t="shared" si="25"/>
        <v>0.3333333333333333</v>
      </c>
      <c r="BW32" s="138">
        <f>SUM(BV$15:BV32)*BW$13</f>
        <v>26999.999999999993</v>
      </c>
      <c r="BX32" s="131"/>
      <c r="BY32" s="131"/>
      <c r="BZ32" s="131">
        <f t="shared" si="26"/>
        <v>0.1</v>
      </c>
      <c r="CA32" s="138">
        <f>SUM(BZ$15:BZ32)*CA$13</f>
        <v>136260.00000000003</v>
      </c>
      <c r="CB32" s="131">
        <f t="shared" si="27"/>
        <v>0.03571428571428571</v>
      </c>
      <c r="CC32" s="138">
        <f>SUM(CB$15:CB32)*CC$13</f>
        <v>70868.5714285714</v>
      </c>
      <c r="CD32" s="131">
        <f t="shared" si="28"/>
        <v>0.025</v>
      </c>
      <c r="CE32" s="138">
        <f>SUM(CD$15:CD32)*CE$13</f>
        <v>59250.00000000002</v>
      </c>
      <c r="CF32" s="131"/>
      <c r="CG32" s="131"/>
      <c r="CH32" s="130">
        <f t="shared" si="15"/>
        <v>18</v>
      </c>
      <c r="CI32" s="138">
        <f t="shared" si="29"/>
        <v>7492790.245982142</v>
      </c>
      <c r="CJ32" s="145"/>
      <c r="CK32" s="145"/>
      <c r="CL32" s="145"/>
      <c r="CM32" s="145"/>
      <c r="CN32" s="145"/>
      <c r="CO32" s="145"/>
      <c r="CP32" s="145"/>
      <c r="CQ32" s="145"/>
      <c r="CR32" s="145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</row>
    <row r="33" spans="1:108" ht="15.75">
      <c r="A33" s="47"/>
      <c r="B33" s="47"/>
      <c r="C33" s="55" t="str">
        <f>Begriffe!B28</f>
        <v>(Preise als Komplettleistung </v>
      </c>
      <c r="D33" s="47"/>
      <c r="E33" s="86" t="str">
        <f>Begriffe!B34</f>
        <v>Schleifen</v>
      </c>
      <c r="F33" s="47"/>
      <c r="G33" s="47"/>
      <c r="H33" s="87">
        <f>4500</f>
        <v>4500</v>
      </c>
      <c r="I33" s="88" t="str">
        <f>Begriffe!B47</f>
        <v> € / km</v>
      </c>
      <c r="J33" s="47"/>
      <c r="K33" s="47"/>
      <c r="L33" s="47"/>
      <c r="M33" s="89"/>
      <c r="N33" s="34"/>
      <c r="O33" s="40"/>
      <c r="P33" s="116"/>
      <c r="Q33" s="116"/>
      <c r="R33" s="141"/>
      <c r="S33" s="142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1"/>
      <c r="AE33" s="121"/>
      <c r="AF33" s="121"/>
      <c r="AG33" s="122"/>
      <c r="AH33" s="134">
        <v>20</v>
      </c>
      <c r="AI33" s="130">
        <f t="shared" si="16"/>
        <v>640</v>
      </c>
      <c r="AJ33" s="138">
        <f>SUM(AI$14:AI33)</f>
        <v>12800</v>
      </c>
      <c r="AK33" s="131">
        <f t="shared" si="17"/>
        <v>0.2</v>
      </c>
      <c r="AL33" s="138">
        <f t="shared" si="18"/>
        <v>900</v>
      </c>
      <c r="AM33" s="134"/>
      <c r="AN33" s="134"/>
      <c r="AO33" s="134">
        <f t="shared" si="19"/>
        <v>0.05</v>
      </c>
      <c r="AP33" s="138">
        <f>SUM(AO$14:AO33)*AP$11</f>
        <v>75700.00000000001</v>
      </c>
      <c r="AQ33" s="131">
        <f t="shared" si="20"/>
        <v>0.025</v>
      </c>
      <c r="AR33" s="138">
        <f>SUM(AQ$14:AQ33)*AR$11</f>
        <v>55120.00000000001</v>
      </c>
      <c r="AS33" s="131">
        <f t="shared" si="21"/>
        <v>0.016666666666666666</v>
      </c>
      <c r="AT33" s="138">
        <f>SUM(AS$14:AS33)*AT$11</f>
        <v>83888.88888888889</v>
      </c>
      <c r="AU33" s="134"/>
      <c r="AV33" s="134"/>
      <c r="AW33" s="134">
        <f t="shared" si="6"/>
        <v>20</v>
      </c>
      <c r="AX33" s="138">
        <f t="shared" si="22"/>
        <v>983864.4823040003</v>
      </c>
      <c r="AY33" s="138">
        <f t="shared" si="7"/>
        <v>8325322.495535715</v>
      </c>
      <c r="AZ33" s="138">
        <f t="shared" si="8"/>
        <v>20</v>
      </c>
      <c r="BA33" s="138">
        <f t="shared" si="23"/>
        <v>1353471.148970667</v>
      </c>
      <c r="BB33" s="138">
        <f t="shared" si="23"/>
        <v>8325322.495535715</v>
      </c>
      <c r="BC33" s="122"/>
      <c r="BD33" s="122"/>
      <c r="BE33" s="122"/>
      <c r="BF33" s="122"/>
      <c r="BG33" s="122"/>
      <c r="BH33" s="122"/>
      <c r="BI33" s="122"/>
      <c r="BJ33" s="122"/>
      <c r="BK33" s="122"/>
      <c r="BL33" s="145"/>
      <c r="BM33" s="145"/>
      <c r="BN33" s="145"/>
      <c r="BO33" s="145"/>
      <c r="BP33" s="145"/>
      <c r="BQ33" s="145"/>
      <c r="BR33" s="145"/>
      <c r="BS33" s="130">
        <v>19</v>
      </c>
      <c r="BT33" s="131">
        <f t="shared" si="24"/>
        <v>0.5</v>
      </c>
      <c r="BU33" s="138">
        <f>SUM(BT$15:BT33)*BU$13</f>
        <v>30400</v>
      </c>
      <c r="BV33" s="131">
        <f t="shared" si="25"/>
        <v>0.3333333333333333</v>
      </c>
      <c r="BW33" s="138">
        <f>SUM(BV$15:BV33)*BW$13</f>
        <v>28499.99999999999</v>
      </c>
      <c r="BX33" s="131"/>
      <c r="BY33" s="131"/>
      <c r="BZ33" s="131">
        <f t="shared" si="26"/>
        <v>0.1</v>
      </c>
      <c r="CA33" s="138">
        <f>SUM(BZ$15:BZ33)*CA$13</f>
        <v>143830.00000000006</v>
      </c>
      <c r="CB33" s="131">
        <f t="shared" si="27"/>
        <v>0.03571428571428571</v>
      </c>
      <c r="CC33" s="138">
        <f>SUM(CB$15:CB33)*CC$13</f>
        <v>74805.71428571426</v>
      </c>
      <c r="CD33" s="131">
        <f t="shared" si="28"/>
        <v>0.025</v>
      </c>
      <c r="CE33" s="138">
        <f>SUM(CD$15:CD33)*CE$13</f>
        <v>62541.66666666669</v>
      </c>
      <c r="CF33" s="131"/>
      <c r="CG33" s="131"/>
      <c r="CH33" s="130">
        <f t="shared" si="15"/>
        <v>19</v>
      </c>
      <c r="CI33" s="130">
        <f t="shared" si="29"/>
        <v>7909056.37075893</v>
      </c>
      <c r="CJ33" s="145"/>
      <c r="CK33" s="145"/>
      <c r="CL33" s="145"/>
      <c r="CM33" s="145"/>
      <c r="CN33" s="145"/>
      <c r="CO33" s="145"/>
      <c r="CP33" s="145"/>
      <c r="CQ33" s="145"/>
      <c r="CR33" s="145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</row>
    <row r="34" spans="1:108" ht="15.75">
      <c r="A34" s="47"/>
      <c r="B34" s="47"/>
      <c r="C34" s="55" t="str">
        <f>Begriffe!B29</f>
        <v>einschl. aller Zuschläge etc.</v>
      </c>
      <c r="D34" s="47"/>
      <c r="E34" s="86" t="str">
        <f>Begriffe!B35</f>
        <v>Schotterreinigung</v>
      </c>
      <c r="F34" s="47"/>
      <c r="G34" s="47"/>
      <c r="H34" s="114">
        <f>38000+1.3*29*1000</f>
        <v>75700</v>
      </c>
      <c r="I34" s="88" t="str">
        <f>Begriffe!B48</f>
        <v> € / km</v>
      </c>
      <c r="J34" s="47"/>
      <c r="K34" s="47"/>
      <c r="L34" s="90" t="str">
        <f>Begriffe!B59</f>
        <v>(mit 1/3 Neusschotter)</v>
      </c>
      <c r="M34" s="89"/>
      <c r="N34" s="34"/>
      <c r="O34" s="40"/>
      <c r="P34" s="116"/>
      <c r="Q34" s="116"/>
      <c r="R34" s="141"/>
      <c r="S34" s="142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1"/>
      <c r="AE34" s="121"/>
      <c r="AF34" s="121"/>
      <c r="AG34" s="122"/>
      <c r="AH34" s="134">
        <v>21</v>
      </c>
      <c r="AI34" s="130">
        <f t="shared" si="16"/>
        <v>640</v>
      </c>
      <c r="AJ34" s="138">
        <f>SUM(AI$14:AI34)</f>
        <v>13440</v>
      </c>
      <c r="AK34" s="131">
        <f t="shared" si="17"/>
        <v>0.2</v>
      </c>
      <c r="AL34" s="138">
        <f t="shared" si="18"/>
        <v>900</v>
      </c>
      <c r="AM34" s="134"/>
      <c r="AN34" s="134"/>
      <c r="AO34" s="134">
        <f t="shared" si="19"/>
        <v>0.05</v>
      </c>
      <c r="AP34" s="138">
        <f>SUM(AO$14:AO34)*AP$11</f>
        <v>79485.00000000001</v>
      </c>
      <c r="AQ34" s="131">
        <f t="shared" si="20"/>
        <v>0.025</v>
      </c>
      <c r="AR34" s="138">
        <f>SUM(AQ$14:AQ34)*AR$11</f>
        <v>57876.00000000001</v>
      </c>
      <c r="AS34" s="131">
        <f t="shared" si="21"/>
        <v>0.016666666666666666</v>
      </c>
      <c r="AT34" s="138">
        <f>SUM(AS$14:AS34)*AT$11</f>
        <v>88083.33333333333</v>
      </c>
      <c r="AU34" s="134"/>
      <c r="AV34" s="134"/>
      <c r="AW34" s="134">
        <f t="shared" si="6"/>
        <v>21</v>
      </c>
      <c r="AX34" s="138">
        <f t="shared" si="22"/>
        <v>1032863.8702602003</v>
      </c>
      <c r="AY34" s="138">
        <f t="shared" si="7"/>
        <v>8741588.620312499</v>
      </c>
      <c r="AZ34" s="138">
        <f t="shared" si="8"/>
        <v>21</v>
      </c>
      <c r="BA34" s="138">
        <f aca="true" t="shared" si="30" ref="BA34:BB44">BA$13+AX34</f>
        <v>1402470.536926867</v>
      </c>
      <c r="BB34" s="138">
        <f t="shared" si="30"/>
        <v>8741588.620312499</v>
      </c>
      <c r="BC34" s="122"/>
      <c r="BD34" s="122"/>
      <c r="BE34" s="122"/>
      <c r="BF34" s="122"/>
      <c r="BG34" s="122"/>
      <c r="BH34" s="122"/>
      <c r="BI34" s="122"/>
      <c r="BJ34" s="122"/>
      <c r="BK34" s="122"/>
      <c r="BL34" s="145"/>
      <c r="BM34" s="145"/>
      <c r="BN34" s="145"/>
      <c r="BO34" s="145"/>
      <c r="BP34" s="145"/>
      <c r="BQ34" s="145"/>
      <c r="BR34" s="145"/>
      <c r="BS34" s="130">
        <v>20</v>
      </c>
      <c r="BT34" s="131">
        <f t="shared" si="24"/>
        <v>0.5</v>
      </c>
      <c r="BU34" s="138">
        <f>SUM(BT$15:BT34)*BU$13</f>
        <v>32000</v>
      </c>
      <c r="BV34" s="131">
        <f t="shared" si="25"/>
        <v>0.3333333333333333</v>
      </c>
      <c r="BW34" s="138">
        <f>SUM(BV$15:BV34)*BW$13</f>
        <v>29999.99999999999</v>
      </c>
      <c r="BX34" s="131"/>
      <c r="BY34" s="131"/>
      <c r="BZ34" s="131">
        <f t="shared" si="26"/>
        <v>0.1</v>
      </c>
      <c r="CA34" s="138">
        <f>SUM(BZ$15:BZ34)*CA$13</f>
        <v>151400.00000000003</v>
      </c>
      <c r="CB34" s="131">
        <f t="shared" si="27"/>
        <v>0.03571428571428571</v>
      </c>
      <c r="CC34" s="138">
        <f>SUM(CB$15:CB34)*CC$13</f>
        <v>78742.85714285712</v>
      </c>
      <c r="CD34" s="131">
        <f t="shared" si="28"/>
        <v>0.025</v>
      </c>
      <c r="CE34" s="138">
        <f>SUM(CD$15:CD34)*CE$13</f>
        <v>65833.33333333336</v>
      </c>
      <c r="CF34" s="131"/>
      <c r="CG34" s="131"/>
      <c r="CH34" s="130">
        <f t="shared" si="15"/>
        <v>20</v>
      </c>
      <c r="CI34" s="130">
        <f t="shared" si="29"/>
        <v>8325322.495535715</v>
      </c>
      <c r="CJ34" s="145"/>
      <c r="CK34" s="145"/>
      <c r="CL34" s="145"/>
      <c r="CM34" s="145"/>
      <c r="CN34" s="145"/>
      <c r="CO34" s="145"/>
      <c r="CP34" s="145"/>
      <c r="CQ34" s="145"/>
      <c r="CR34" s="145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</row>
    <row r="35" spans="1:108" ht="15.75">
      <c r="A35" s="47"/>
      <c r="B35" s="47"/>
      <c r="C35" s="55" t="str">
        <f>Begriffe!B30</f>
        <v>als Mittel dreier deutscher </v>
      </c>
      <c r="D35" s="47"/>
      <c r="E35" s="86" t="str">
        <f>Begriffe!B36</f>
        <v>Schotteraustausch </v>
      </c>
      <c r="F35" s="47"/>
      <c r="G35" s="47"/>
      <c r="H35" s="114">
        <f>40+H42*H37*1000</f>
        <v>110239.99999999999</v>
      </c>
      <c r="I35" s="88" t="str">
        <f>Begriffe!B49</f>
        <v> € / km</v>
      </c>
      <c r="J35" s="47"/>
      <c r="K35" s="47"/>
      <c r="L35" s="90"/>
      <c r="M35" s="89"/>
      <c r="N35" s="34"/>
      <c r="O35" s="40"/>
      <c r="P35" s="116"/>
      <c r="Q35" s="116"/>
      <c r="R35" s="141"/>
      <c r="S35" s="142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1"/>
      <c r="AE35" s="121"/>
      <c r="AF35" s="121"/>
      <c r="AG35" s="122"/>
      <c r="AH35" s="134">
        <v>22</v>
      </c>
      <c r="AI35" s="130">
        <f t="shared" si="16"/>
        <v>640</v>
      </c>
      <c r="AJ35" s="138">
        <f>SUM(AI$14:AI35)</f>
        <v>14080</v>
      </c>
      <c r="AK35" s="131">
        <f t="shared" si="17"/>
        <v>0.2</v>
      </c>
      <c r="AL35" s="138">
        <f t="shared" si="18"/>
        <v>900</v>
      </c>
      <c r="AM35" s="134"/>
      <c r="AN35" s="134"/>
      <c r="AO35" s="134">
        <f t="shared" si="19"/>
        <v>0.05</v>
      </c>
      <c r="AP35" s="138">
        <f>SUM(AO$14:AO35)*AP$11</f>
        <v>83270.00000000003</v>
      </c>
      <c r="AQ35" s="131">
        <f t="shared" si="20"/>
        <v>0.025</v>
      </c>
      <c r="AR35" s="138">
        <f>SUM(AQ$14:AQ35)*AR$11</f>
        <v>60632.00000000001</v>
      </c>
      <c r="AS35" s="131">
        <f t="shared" si="21"/>
        <v>0.016666666666666666</v>
      </c>
      <c r="AT35" s="138">
        <f>SUM(AS$14:AS35)*AT$11</f>
        <v>92277.77777777778</v>
      </c>
      <c r="AU35" s="134"/>
      <c r="AV35" s="134"/>
      <c r="AW35" s="134">
        <f t="shared" si="6"/>
        <v>22</v>
      </c>
      <c r="AX35" s="138">
        <f t="shared" si="22"/>
        <v>1081863.2582164004</v>
      </c>
      <c r="AY35" s="138">
        <f t="shared" si="7"/>
        <v>9157854.745089287</v>
      </c>
      <c r="AZ35" s="138">
        <f t="shared" si="8"/>
        <v>22</v>
      </c>
      <c r="BA35" s="138">
        <f t="shared" si="30"/>
        <v>1451469.9248830671</v>
      </c>
      <c r="BB35" s="138">
        <f t="shared" si="30"/>
        <v>9157854.745089287</v>
      </c>
      <c r="BC35" s="122"/>
      <c r="BD35" s="122"/>
      <c r="BE35" s="122"/>
      <c r="BF35" s="122"/>
      <c r="BG35" s="122"/>
      <c r="BH35" s="122"/>
      <c r="BI35" s="122"/>
      <c r="BJ35" s="122"/>
      <c r="BK35" s="122"/>
      <c r="BL35" s="145"/>
      <c r="BM35" s="145"/>
      <c r="BN35" s="145"/>
      <c r="BO35" s="145"/>
      <c r="BP35" s="145"/>
      <c r="BQ35" s="145"/>
      <c r="BR35" s="145"/>
      <c r="BS35" s="130">
        <v>21</v>
      </c>
      <c r="BT35" s="131">
        <f t="shared" si="24"/>
        <v>0.5</v>
      </c>
      <c r="BU35" s="138">
        <f>SUM(BT$15:BT35)*BU$13</f>
        <v>33600</v>
      </c>
      <c r="BV35" s="131">
        <f t="shared" si="25"/>
        <v>0.3333333333333333</v>
      </c>
      <c r="BW35" s="138">
        <f>SUM(BV$15:BV35)*BW$13</f>
        <v>31499.99999999999</v>
      </c>
      <c r="BX35" s="131"/>
      <c r="BY35" s="131"/>
      <c r="BZ35" s="131">
        <f t="shared" si="26"/>
        <v>0.1</v>
      </c>
      <c r="CA35" s="138">
        <f>SUM(BZ$15:BZ35)*CA$13</f>
        <v>158970.00000000003</v>
      </c>
      <c r="CB35" s="131">
        <f t="shared" si="27"/>
        <v>0.03571428571428571</v>
      </c>
      <c r="CC35" s="138">
        <f>SUM(CB$15:CB35)*CC$13</f>
        <v>82679.99999999997</v>
      </c>
      <c r="CD35" s="131">
        <f t="shared" si="28"/>
        <v>0.025</v>
      </c>
      <c r="CE35" s="138">
        <f>SUM(CD$15:CD35)*CE$13</f>
        <v>69125.00000000003</v>
      </c>
      <c r="CF35" s="131"/>
      <c r="CG35" s="131"/>
      <c r="CH35" s="130">
        <f t="shared" si="15"/>
        <v>21</v>
      </c>
      <c r="CI35" s="130">
        <f t="shared" si="29"/>
        <v>8741588.620312499</v>
      </c>
      <c r="CJ35" s="145"/>
      <c r="CK35" s="145"/>
      <c r="CL35" s="145"/>
      <c r="CM35" s="145"/>
      <c r="CN35" s="145"/>
      <c r="CO35" s="145"/>
      <c r="CP35" s="145"/>
      <c r="CQ35" s="145"/>
      <c r="CR35" s="145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</row>
    <row r="36" spans="1:108" ht="15.75">
      <c r="A36" s="47"/>
      <c r="B36" s="47"/>
      <c r="C36" s="55" t="str">
        <f>Begriffe!B31</f>
        <v>Bahnbaufirmen - Preisbasis 2004) </v>
      </c>
      <c r="D36" s="47"/>
      <c r="E36" s="86" t="str">
        <f>Begriffe!B37</f>
        <v>Schwellenaustausch</v>
      </c>
      <c r="F36" s="47"/>
      <c r="G36" s="47"/>
      <c r="H36" s="114">
        <f>(35000+H38*1000/H44+H40*1000/H44)</f>
        <v>131666.6666666667</v>
      </c>
      <c r="I36" s="88" t="str">
        <f>Begriffe!B50</f>
        <v> € / km</v>
      </c>
      <c r="J36" s="47"/>
      <c r="K36" s="47"/>
      <c r="L36" s="90"/>
      <c r="M36" s="89"/>
      <c r="N36" s="34"/>
      <c r="O36" s="40"/>
      <c r="P36" s="116"/>
      <c r="Q36" s="116"/>
      <c r="R36" s="141"/>
      <c r="S36" s="142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1"/>
      <c r="AE36" s="121"/>
      <c r="AF36" s="121"/>
      <c r="AG36" s="122"/>
      <c r="AH36" s="134">
        <v>23</v>
      </c>
      <c r="AI36" s="130">
        <f t="shared" si="16"/>
        <v>640</v>
      </c>
      <c r="AJ36" s="138">
        <f>SUM(AI$14:AI36)</f>
        <v>14720</v>
      </c>
      <c r="AK36" s="131">
        <f t="shared" si="17"/>
        <v>0.2</v>
      </c>
      <c r="AL36" s="138">
        <f t="shared" si="18"/>
        <v>900</v>
      </c>
      <c r="AM36" s="134"/>
      <c r="AN36" s="134"/>
      <c r="AO36" s="134">
        <f t="shared" si="19"/>
        <v>0.05</v>
      </c>
      <c r="AP36" s="138">
        <f>SUM(AO$14:AO36)*AP$11</f>
        <v>87055.00000000003</v>
      </c>
      <c r="AQ36" s="131">
        <f t="shared" si="20"/>
        <v>0.025</v>
      </c>
      <c r="AR36" s="138">
        <f>SUM(AQ$14:AQ36)*AR$11</f>
        <v>63388.000000000015</v>
      </c>
      <c r="AS36" s="131">
        <f t="shared" si="21"/>
        <v>0.016666666666666666</v>
      </c>
      <c r="AT36" s="138">
        <f>SUM(AS$14:AS36)*AT$11</f>
        <v>96472.22222222222</v>
      </c>
      <c r="AU36" s="134"/>
      <c r="AV36" s="134"/>
      <c r="AW36" s="134">
        <f t="shared" si="6"/>
        <v>23</v>
      </c>
      <c r="AX36" s="138">
        <f t="shared" si="22"/>
        <v>1130862.6461726003</v>
      </c>
      <c r="AY36" s="138">
        <f t="shared" si="7"/>
        <v>9574120.869866073</v>
      </c>
      <c r="AZ36" s="138">
        <f t="shared" si="8"/>
        <v>23</v>
      </c>
      <c r="BA36" s="138">
        <f t="shared" si="30"/>
        <v>1500469.312839267</v>
      </c>
      <c r="BB36" s="138">
        <f t="shared" si="30"/>
        <v>9574120.869866073</v>
      </c>
      <c r="BC36" s="122"/>
      <c r="BD36" s="122"/>
      <c r="BE36" s="122"/>
      <c r="BF36" s="122"/>
      <c r="BG36" s="122"/>
      <c r="BH36" s="122"/>
      <c r="BI36" s="122"/>
      <c r="BJ36" s="122"/>
      <c r="BK36" s="122"/>
      <c r="BL36" s="145"/>
      <c r="BM36" s="145"/>
      <c r="BN36" s="145"/>
      <c r="BO36" s="145"/>
      <c r="BP36" s="145"/>
      <c r="BQ36" s="145"/>
      <c r="BR36" s="145"/>
      <c r="BS36" s="130">
        <v>22</v>
      </c>
      <c r="BT36" s="131">
        <f t="shared" si="24"/>
        <v>0.5</v>
      </c>
      <c r="BU36" s="138">
        <f>SUM(BT$15:BT36)*BU$13</f>
        <v>35200</v>
      </c>
      <c r="BV36" s="131">
        <f t="shared" si="25"/>
        <v>0.3333333333333333</v>
      </c>
      <c r="BW36" s="138">
        <f>SUM(BV$15:BV36)*BW$13</f>
        <v>32999.999999999985</v>
      </c>
      <c r="BX36" s="131"/>
      <c r="BY36" s="131"/>
      <c r="BZ36" s="131">
        <f t="shared" si="26"/>
        <v>0.1</v>
      </c>
      <c r="CA36" s="138">
        <f>SUM(BZ$15:BZ36)*CA$13</f>
        <v>166540.00000000006</v>
      </c>
      <c r="CB36" s="131">
        <f t="shared" si="27"/>
        <v>0.03571428571428571</v>
      </c>
      <c r="CC36" s="138">
        <f>SUM(CB$15:CB36)*CC$13</f>
        <v>86617.14285714283</v>
      </c>
      <c r="CD36" s="131">
        <f t="shared" si="28"/>
        <v>0.025</v>
      </c>
      <c r="CE36" s="138">
        <f>SUM(CD$15:CD36)*CE$13</f>
        <v>72416.6666666667</v>
      </c>
      <c r="CF36" s="131"/>
      <c r="CG36" s="131"/>
      <c r="CH36" s="130">
        <f t="shared" si="15"/>
        <v>22</v>
      </c>
      <c r="CI36" s="130">
        <f t="shared" si="29"/>
        <v>9157854.745089287</v>
      </c>
      <c r="CJ36" s="145"/>
      <c r="CK36" s="145"/>
      <c r="CL36" s="145"/>
      <c r="CM36" s="145"/>
      <c r="CN36" s="145"/>
      <c r="CO36" s="145"/>
      <c r="CP36" s="145"/>
      <c r="CQ36" s="145"/>
      <c r="CR36" s="145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</row>
    <row r="37" spans="1:108" ht="15.75">
      <c r="A37" s="47"/>
      <c r="B37" s="47"/>
      <c r="C37" s="91" t="str">
        <f>IF(O$10=2,Begriffe!B100,$A$1)</f>
        <v> </v>
      </c>
      <c r="D37" s="47"/>
      <c r="E37" s="86" t="str">
        <f>Begriffe!B38</f>
        <v>Schotter</v>
      </c>
      <c r="F37" s="47"/>
      <c r="G37" s="47"/>
      <c r="H37" s="87">
        <f>29</f>
        <v>29</v>
      </c>
      <c r="I37" s="88" t="str">
        <f>Begriffe!B51</f>
        <v>€ / t</v>
      </c>
      <c r="J37" s="47"/>
      <c r="K37" s="47"/>
      <c r="L37" s="90" t="str">
        <f>Begriffe!B60</f>
        <v>frei Baustelle abgeladen</v>
      </c>
      <c r="M37" s="89"/>
      <c r="N37" s="34"/>
      <c r="O37" s="40"/>
      <c r="P37" s="116"/>
      <c r="Q37" s="116"/>
      <c r="R37" s="141"/>
      <c r="S37" s="142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1"/>
      <c r="AE37" s="121"/>
      <c r="AF37" s="121"/>
      <c r="AG37" s="122"/>
      <c r="AH37" s="134">
        <v>24</v>
      </c>
      <c r="AI37" s="130">
        <f t="shared" si="16"/>
        <v>640</v>
      </c>
      <c r="AJ37" s="138">
        <f>SUM(AI$14:AI37)</f>
        <v>15360</v>
      </c>
      <c r="AK37" s="131">
        <f t="shared" si="17"/>
        <v>0.2</v>
      </c>
      <c r="AL37" s="138">
        <f t="shared" si="18"/>
        <v>900</v>
      </c>
      <c r="AM37" s="134"/>
      <c r="AN37" s="134"/>
      <c r="AO37" s="134">
        <f t="shared" si="19"/>
        <v>0.05</v>
      </c>
      <c r="AP37" s="138">
        <f>SUM(AO$14:AO37)*AP$11</f>
        <v>90840.00000000003</v>
      </c>
      <c r="AQ37" s="131">
        <f t="shared" si="20"/>
        <v>0.025</v>
      </c>
      <c r="AR37" s="138">
        <f>SUM(AQ$14:AQ37)*AR$11</f>
        <v>66144.00000000001</v>
      </c>
      <c r="AS37" s="131">
        <f t="shared" si="21"/>
        <v>0.016666666666666666</v>
      </c>
      <c r="AT37" s="138">
        <f>SUM(AS$14:AS37)*AT$11</f>
        <v>100666.66666666667</v>
      </c>
      <c r="AU37" s="134"/>
      <c r="AV37" s="134"/>
      <c r="AW37" s="134">
        <f t="shared" si="6"/>
        <v>24</v>
      </c>
      <c r="AX37" s="138">
        <f t="shared" si="22"/>
        <v>1179862.0341288005</v>
      </c>
      <c r="AY37" s="138">
        <f t="shared" si="7"/>
        <v>9990386.994642857</v>
      </c>
      <c r="AZ37" s="138">
        <f t="shared" si="8"/>
        <v>24</v>
      </c>
      <c r="BA37" s="138">
        <f t="shared" si="30"/>
        <v>1549468.7007954672</v>
      </c>
      <c r="BB37" s="138">
        <f t="shared" si="30"/>
        <v>9990386.994642857</v>
      </c>
      <c r="BC37" s="122"/>
      <c r="BD37" s="122"/>
      <c r="BE37" s="122"/>
      <c r="BF37" s="122"/>
      <c r="BG37" s="122"/>
      <c r="BH37" s="122"/>
      <c r="BI37" s="122"/>
      <c r="BJ37" s="122"/>
      <c r="BK37" s="122"/>
      <c r="BL37" s="145"/>
      <c r="BM37" s="145"/>
      <c r="BN37" s="145"/>
      <c r="BO37" s="145"/>
      <c r="BP37" s="145"/>
      <c r="BQ37" s="145"/>
      <c r="BR37" s="145"/>
      <c r="BS37" s="130">
        <v>23</v>
      </c>
      <c r="BT37" s="131">
        <f t="shared" si="24"/>
        <v>0.5</v>
      </c>
      <c r="BU37" s="138">
        <f>SUM(BT$15:BT37)*BU$13</f>
        <v>36800</v>
      </c>
      <c r="BV37" s="131">
        <f t="shared" si="25"/>
        <v>0.3333333333333333</v>
      </c>
      <c r="BW37" s="138">
        <f>SUM(BV$15:BV37)*BW$13</f>
        <v>34499.999999999985</v>
      </c>
      <c r="BX37" s="131"/>
      <c r="BY37" s="131"/>
      <c r="BZ37" s="131">
        <f t="shared" si="26"/>
        <v>0.1</v>
      </c>
      <c r="CA37" s="138">
        <f>SUM(BZ$15:BZ37)*CA$13</f>
        <v>174110.00000000006</v>
      </c>
      <c r="CB37" s="131">
        <f t="shared" si="27"/>
        <v>0.03571428571428571</v>
      </c>
      <c r="CC37" s="138">
        <f>SUM(CB$15:CB37)*CC$13</f>
        <v>90554.28571428568</v>
      </c>
      <c r="CD37" s="131">
        <f t="shared" si="28"/>
        <v>0.025</v>
      </c>
      <c r="CE37" s="138">
        <f>SUM(CD$15:CD37)*CE$13</f>
        <v>75708.33333333337</v>
      </c>
      <c r="CF37" s="131"/>
      <c r="CG37" s="131"/>
      <c r="CH37" s="130">
        <f t="shared" si="15"/>
        <v>23</v>
      </c>
      <c r="CI37" s="130">
        <f t="shared" si="29"/>
        <v>9574120.869866073</v>
      </c>
      <c r="CJ37" s="145"/>
      <c r="CK37" s="145"/>
      <c r="CL37" s="145"/>
      <c r="CM37" s="145"/>
      <c r="CN37" s="145"/>
      <c r="CO37" s="145"/>
      <c r="CP37" s="145"/>
      <c r="CQ37" s="145"/>
      <c r="CR37" s="145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</row>
    <row r="38" spans="1:108" ht="15.75">
      <c r="A38" s="47"/>
      <c r="B38" s="47"/>
      <c r="C38" s="83"/>
      <c r="D38" s="47"/>
      <c r="E38" s="86" t="str">
        <f>Begriffe!B39</f>
        <v>Schwelle o. Sohle</v>
      </c>
      <c r="F38" s="47"/>
      <c r="G38" s="47"/>
      <c r="H38" s="87">
        <f>50</f>
        <v>50</v>
      </c>
      <c r="I38" s="88" t="str">
        <f>Begriffe!B52</f>
        <v>€ / Stck</v>
      </c>
      <c r="J38" s="47"/>
      <c r="K38" s="47"/>
      <c r="L38" s="90" t="str">
        <f>Begriffe!B61</f>
        <v>frei Baustelle abgeladen</v>
      </c>
      <c r="M38" s="89"/>
      <c r="N38" s="34"/>
      <c r="O38" s="40"/>
      <c r="P38" s="116"/>
      <c r="Q38" s="116"/>
      <c r="R38" s="141"/>
      <c r="S38" s="142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1"/>
      <c r="AE38" s="121"/>
      <c r="AF38" s="121"/>
      <c r="AG38" s="122"/>
      <c r="AH38" s="134">
        <v>25</v>
      </c>
      <c r="AI38" s="130">
        <f t="shared" si="16"/>
        <v>640</v>
      </c>
      <c r="AJ38" s="138">
        <f>SUM(AI$14:AI38)</f>
        <v>16000</v>
      </c>
      <c r="AK38" s="131">
        <f t="shared" si="17"/>
        <v>0.2</v>
      </c>
      <c r="AL38" s="138">
        <f t="shared" si="18"/>
        <v>900</v>
      </c>
      <c r="AM38" s="134"/>
      <c r="AN38" s="134"/>
      <c r="AO38" s="134">
        <f t="shared" si="19"/>
        <v>0.05</v>
      </c>
      <c r="AP38" s="138">
        <f>SUM(AO$14:AO38)*AP$11</f>
        <v>94625.00000000003</v>
      </c>
      <c r="AQ38" s="131">
        <f t="shared" si="20"/>
        <v>0.025</v>
      </c>
      <c r="AR38" s="138">
        <f>SUM(AQ$14:AQ38)*AR$11</f>
        <v>68900.00000000001</v>
      </c>
      <c r="AS38" s="131">
        <f t="shared" si="21"/>
        <v>0.016666666666666666</v>
      </c>
      <c r="AT38" s="138">
        <f>SUM(AS$14:AS38)*AT$11</f>
        <v>104861.11111111111</v>
      </c>
      <c r="AU38" s="134"/>
      <c r="AV38" s="134"/>
      <c r="AW38" s="134">
        <f t="shared" si="6"/>
        <v>25</v>
      </c>
      <c r="AX38" s="138">
        <f t="shared" si="22"/>
        <v>1228861.4220850007</v>
      </c>
      <c r="AY38" s="138">
        <f t="shared" si="7"/>
        <v>10406653.119419646</v>
      </c>
      <c r="AZ38" s="138">
        <f t="shared" si="8"/>
        <v>25</v>
      </c>
      <c r="BA38" s="138">
        <f t="shared" si="30"/>
        <v>1598468.0887516674</v>
      </c>
      <c r="BB38" s="138">
        <f t="shared" si="30"/>
        <v>10406653.119419646</v>
      </c>
      <c r="BC38" s="122"/>
      <c r="BD38" s="122"/>
      <c r="BE38" s="122"/>
      <c r="BF38" s="122"/>
      <c r="BG38" s="122"/>
      <c r="BH38" s="122"/>
      <c r="BI38" s="122"/>
      <c r="BJ38" s="122"/>
      <c r="BK38" s="122"/>
      <c r="BL38" s="145"/>
      <c r="BM38" s="145"/>
      <c r="BN38" s="145"/>
      <c r="BO38" s="145"/>
      <c r="BP38" s="145"/>
      <c r="BQ38" s="145"/>
      <c r="BR38" s="145"/>
      <c r="BS38" s="130">
        <v>24</v>
      </c>
      <c r="BT38" s="131">
        <f t="shared" si="24"/>
        <v>0.5</v>
      </c>
      <c r="BU38" s="138">
        <f>SUM(BT$15:BT38)*BU$13</f>
        <v>38400</v>
      </c>
      <c r="BV38" s="131">
        <f t="shared" si="25"/>
        <v>0.3333333333333333</v>
      </c>
      <c r="BW38" s="138">
        <f>SUM(BV$15:BV38)*BW$13</f>
        <v>35999.999999999985</v>
      </c>
      <c r="BX38" s="131"/>
      <c r="BY38" s="131"/>
      <c r="BZ38" s="131">
        <f t="shared" si="26"/>
        <v>0.1</v>
      </c>
      <c r="CA38" s="138">
        <f>SUM(BZ$15:BZ38)*CA$13</f>
        <v>181680.00000000006</v>
      </c>
      <c r="CB38" s="131">
        <f t="shared" si="27"/>
        <v>0.03571428571428571</v>
      </c>
      <c r="CC38" s="138">
        <f>SUM(CB$15:CB38)*CC$13</f>
        <v>94491.42857142854</v>
      </c>
      <c r="CD38" s="131">
        <f t="shared" si="28"/>
        <v>0.025</v>
      </c>
      <c r="CE38" s="138">
        <f>SUM(CD$15:CD38)*CE$13</f>
        <v>79000.00000000004</v>
      </c>
      <c r="CF38" s="131"/>
      <c r="CG38" s="131"/>
      <c r="CH38" s="130">
        <f t="shared" si="15"/>
        <v>24</v>
      </c>
      <c r="CI38" s="130">
        <f t="shared" si="29"/>
        <v>9990386.994642857</v>
      </c>
      <c r="CJ38" s="145"/>
      <c r="CK38" s="145"/>
      <c r="CL38" s="145"/>
      <c r="CM38" s="145"/>
      <c r="CN38" s="145"/>
      <c r="CO38" s="145"/>
      <c r="CP38" s="145"/>
      <c r="CQ38" s="145"/>
      <c r="CR38" s="145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</row>
    <row r="39" spans="1:108" ht="15.75">
      <c r="A39" s="47"/>
      <c r="B39" s="47"/>
      <c r="C39" s="83"/>
      <c r="D39" s="47"/>
      <c r="E39" s="86" t="str">
        <f>Begriffe!B40</f>
        <v>Schwelle m. Sohle</v>
      </c>
      <c r="F39" s="47"/>
      <c r="G39" s="47"/>
      <c r="H39" s="114">
        <f>(H38+H41)</f>
        <v>72</v>
      </c>
      <c r="I39" s="88" t="str">
        <f>Begriffe!B53</f>
        <v>€ / Stck</v>
      </c>
      <c r="J39" s="47"/>
      <c r="K39" s="47"/>
      <c r="L39" s="90" t="str">
        <f>Begriffe!B62</f>
        <v>frei Baustelle abgeladen</v>
      </c>
      <c r="M39" s="89"/>
      <c r="N39" s="34"/>
      <c r="O39" s="40"/>
      <c r="P39" s="116"/>
      <c r="Q39" s="116"/>
      <c r="R39" s="141"/>
      <c r="S39" s="142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1"/>
      <c r="AE39" s="121"/>
      <c r="AF39" s="121"/>
      <c r="AG39" s="122"/>
      <c r="AH39" s="134">
        <v>26</v>
      </c>
      <c r="AI39" s="130">
        <f t="shared" si="16"/>
        <v>640</v>
      </c>
      <c r="AJ39" s="138">
        <f>SUM(AI$14:AI39)</f>
        <v>16640</v>
      </c>
      <c r="AK39" s="131">
        <f t="shared" si="17"/>
        <v>0.2</v>
      </c>
      <c r="AL39" s="138">
        <f t="shared" si="18"/>
        <v>900</v>
      </c>
      <c r="AM39" s="134"/>
      <c r="AN39" s="134"/>
      <c r="AO39" s="134">
        <f t="shared" si="19"/>
        <v>0.05</v>
      </c>
      <c r="AP39" s="138">
        <f>SUM(AO$14:AO39)*AP$11</f>
        <v>98410.00000000004</v>
      </c>
      <c r="AQ39" s="131">
        <f t="shared" si="20"/>
        <v>0.025</v>
      </c>
      <c r="AR39" s="138">
        <f>SUM(AQ$14:AQ39)*AR$11</f>
        <v>71656.00000000001</v>
      </c>
      <c r="AS39" s="131">
        <f t="shared" si="21"/>
        <v>0.016666666666666666</v>
      </c>
      <c r="AT39" s="138">
        <f>SUM(AS$14:AS39)*AT$11</f>
        <v>109055.55555555555</v>
      </c>
      <c r="AU39" s="134"/>
      <c r="AV39" s="134"/>
      <c r="AW39" s="134">
        <f t="shared" si="6"/>
        <v>26</v>
      </c>
      <c r="AX39" s="138">
        <f t="shared" si="22"/>
        <v>1277860.8100412006</v>
      </c>
      <c r="AY39" s="138">
        <f t="shared" si="7"/>
        <v>10822919.244196432</v>
      </c>
      <c r="AZ39" s="138">
        <f t="shared" si="8"/>
        <v>26</v>
      </c>
      <c r="BA39" s="138">
        <f t="shared" si="30"/>
        <v>1647467.4767078673</v>
      </c>
      <c r="BB39" s="138">
        <f t="shared" si="30"/>
        <v>10822919.244196432</v>
      </c>
      <c r="BC39" s="122"/>
      <c r="BD39" s="122"/>
      <c r="BE39" s="122"/>
      <c r="BF39" s="122"/>
      <c r="BG39" s="122"/>
      <c r="BH39" s="122"/>
      <c r="BI39" s="122"/>
      <c r="BJ39" s="122"/>
      <c r="BK39" s="122"/>
      <c r="BL39" s="145"/>
      <c r="BM39" s="145"/>
      <c r="BN39" s="145"/>
      <c r="BO39" s="145"/>
      <c r="BP39" s="145"/>
      <c r="BQ39" s="145"/>
      <c r="BR39" s="145"/>
      <c r="BS39" s="130">
        <v>25</v>
      </c>
      <c r="BT39" s="131">
        <f t="shared" si="24"/>
        <v>0.5</v>
      </c>
      <c r="BU39" s="138">
        <f>SUM(BT$15:BT39)*BU$13</f>
        <v>40000</v>
      </c>
      <c r="BV39" s="131">
        <f t="shared" si="25"/>
        <v>0.3333333333333333</v>
      </c>
      <c r="BW39" s="138">
        <f>SUM(BV$15:BV39)*BW$13</f>
        <v>37499.999999999985</v>
      </c>
      <c r="BX39" s="131"/>
      <c r="BY39" s="131"/>
      <c r="BZ39" s="131">
        <f t="shared" si="26"/>
        <v>0.1</v>
      </c>
      <c r="CA39" s="138">
        <f>SUM(BZ$15:BZ39)*CA$13</f>
        <v>189250.00000000006</v>
      </c>
      <c r="CB39" s="131">
        <f t="shared" si="27"/>
        <v>0.03571428571428571</v>
      </c>
      <c r="CC39" s="138">
        <f>SUM(CB$15:CB39)*CC$13</f>
        <v>98428.57142857139</v>
      </c>
      <c r="CD39" s="131">
        <f t="shared" si="28"/>
        <v>0.025</v>
      </c>
      <c r="CE39" s="138">
        <f>SUM(CD$15:CD39)*CE$13</f>
        <v>82291.66666666672</v>
      </c>
      <c r="CF39" s="131"/>
      <c r="CG39" s="131"/>
      <c r="CH39" s="130">
        <f t="shared" si="15"/>
        <v>25</v>
      </c>
      <c r="CI39" s="130">
        <f t="shared" si="29"/>
        <v>10406653.119419646</v>
      </c>
      <c r="CJ39" s="145"/>
      <c r="CK39" s="145"/>
      <c r="CL39" s="145"/>
      <c r="CM39" s="145"/>
      <c r="CN39" s="145"/>
      <c r="CO39" s="145"/>
      <c r="CP39" s="145"/>
      <c r="CQ39" s="145"/>
      <c r="CR39" s="145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</row>
    <row r="40" spans="1:108" ht="15.75">
      <c r="A40" s="47"/>
      <c r="B40" s="47"/>
      <c r="C40" s="83"/>
      <c r="D40" s="47"/>
      <c r="E40" s="86" t="str">
        <f>Begriffe!B41</f>
        <v>Schwellenrecycling</v>
      </c>
      <c r="F40" s="47"/>
      <c r="G40" s="47"/>
      <c r="H40" s="87">
        <f>8</f>
        <v>8</v>
      </c>
      <c r="I40" s="88" t="str">
        <f>Begriffe!B54</f>
        <v>€ / Stck</v>
      </c>
      <c r="J40" s="47"/>
      <c r="K40" s="47"/>
      <c r="L40" s="90" t="str">
        <f>Begriffe!B63</f>
        <v>ab Baustelle entsorgen</v>
      </c>
      <c r="M40" s="89"/>
      <c r="N40" s="34"/>
      <c r="O40" s="40"/>
      <c r="P40" s="116"/>
      <c r="Q40" s="116"/>
      <c r="R40" s="141"/>
      <c r="S40" s="142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1"/>
      <c r="AE40" s="121"/>
      <c r="AF40" s="121"/>
      <c r="AG40" s="122"/>
      <c r="AH40" s="134">
        <v>27</v>
      </c>
      <c r="AI40" s="130">
        <f t="shared" si="16"/>
        <v>640</v>
      </c>
      <c r="AJ40" s="138">
        <f>SUM(AI$14:AI40)</f>
        <v>17280</v>
      </c>
      <c r="AK40" s="131">
        <f t="shared" si="17"/>
        <v>0.2</v>
      </c>
      <c r="AL40" s="138">
        <f t="shared" si="18"/>
        <v>900</v>
      </c>
      <c r="AM40" s="134"/>
      <c r="AN40" s="134"/>
      <c r="AO40" s="134">
        <f t="shared" si="19"/>
        <v>0.05</v>
      </c>
      <c r="AP40" s="138">
        <f>SUM(AO$14:AO40)*AP$11</f>
        <v>102195.00000000004</v>
      </c>
      <c r="AQ40" s="131">
        <f t="shared" si="20"/>
        <v>0.025</v>
      </c>
      <c r="AR40" s="138">
        <f>SUM(AQ$14:AQ40)*AR$11</f>
        <v>74412.00000000001</v>
      </c>
      <c r="AS40" s="131">
        <f t="shared" si="21"/>
        <v>0.016666666666666666</v>
      </c>
      <c r="AT40" s="138">
        <f>SUM(AS$14:AS40)*AT$11</f>
        <v>113250</v>
      </c>
      <c r="AU40" s="134"/>
      <c r="AV40" s="134"/>
      <c r="AW40" s="134">
        <f t="shared" si="6"/>
        <v>27</v>
      </c>
      <c r="AX40" s="138">
        <f t="shared" si="22"/>
        <v>1326860.1979974003</v>
      </c>
      <c r="AY40" s="138">
        <f t="shared" si="7"/>
        <v>11239185.368973218</v>
      </c>
      <c r="AZ40" s="138">
        <f t="shared" si="8"/>
        <v>27</v>
      </c>
      <c r="BA40" s="138">
        <f t="shared" si="30"/>
        <v>1696466.864664067</v>
      </c>
      <c r="BB40" s="138">
        <f t="shared" si="30"/>
        <v>11239185.368973218</v>
      </c>
      <c r="BC40" s="122"/>
      <c r="BD40" s="122"/>
      <c r="BE40" s="122"/>
      <c r="BF40" s="122"/>
      <c r="BG40" s="122"/>
      <c r="BH40" s="122"/>
      <c r="BI40" s="122"/>
      <c r="BJ40" s="122"/>
      <c r="BK40" s="122"/>
      <c r="BL40" s="145"/>
      <c r="BM40" s="145"/>
      <c r="BN40" s="145"/>
      <c r="BO40" s="145"/>
      <c r="BP40" s="145"/>
      <c r="BQ40" s="145"/>
      <c r="BR40" s="145"/>
      <c r="BS40" s="130">
        <v>26</v>
      </c>
      <c r="BT40" s="131">
        <f t="shared" si="24"/>
        <v>0.5</v>
      </c>
      <c r="BU40" s="138">
        <f>SUM(BT$15:BT40)*BU$13</f>
        <v>41600</v>
      </c>
      <c r="BV40" s="131">
        <f t="shared" si="25"/>
        <v>0.3333333333333333</v>
      </c>
      <c r="BW40" s="138">
        <f>SUM(BV$15:BV40)*BW$13</f>
        <v>38999.99999999999</v>
      </c>
      <c r="BX40" s="131"/>
      <c r="BY40" s="131"/>
      <c r="BZ40" s="131">
        <f t="shared" si="26"/>
        <v>0.1</v>
      </c>
      <c r="CA40" s="138">
        <f>SUM(BZ$15:BZ40)*CA$13</f>
        <v>196820.0000000001</v>
      </c>
      <c r="CB40" s="131">
        <f t="shared" si="27"/>
        <v>0.03571428571428571</v>
      </c>
      <c r="CC40" s="138">
        <f>SUM(CB$15:CB40)*CC$13</f>
        <v>102365.71428571425</v>
      </c>
      <c r="CD40" s="131">
        <f t="shared" si="28"/>
        <v>0.025</v>
      </c>
      <c r="CE40" s="138">
        <f>SUM(CD$15:CD40)*CE$13</f>
        <v>85583.33333333337</v>
      </c>
      <c r="CF40" s="131"/>
      <c r="CG40" s="131"/>
      <c r="CH40" s="130">
        <f t="shared" si="15"/>
        <v>26</v>
      </c>
      <c r="CI40" s="130">
        <f t="shared" si="29"/>
        <v>10822919.244196432</v>
      </c>
      <c r="CJ40" s="145"/>
      <c r="CK40" s="145"/>
      <c r="CL40" s="145"/>
      <c r="CM40" s="145"/>
      <c r="CN40" s="145"/>
      <c r="CO40" s="145"/>
      <c r="CP40" s="145"/>
      <c r="CQ40" s="145"/>
      <c r="CR40" s="145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</row>
    <row r="41" spans="1:108" ht="15.75">
      <c r="A41" s="47"/>
      <c r="B41" s="47"/>
      <c r="C41" s="83"/>
      <c r="D41" s="47"/>
      <c r="E41" s="86" t="str">
        <f>Begriffe!B42</f>
        <v>Sohle incl. Montage</v>
      </c>
      <c r="F41" s="47"/>
      <c r="G41" s="47"/>
      <c r="H41" s="87">
        <f>22</f>
        <v>22</v>
      </c>
      <c r="I41" s="88" t="str">
        <f>Begriffe!B55</f>
        <v>€ / Stck</v>
      </c>
      <c r="J41" s="47"/>
      <c r="K41" s="47"/>
      <c r="L41" s="47"/>
      <c r="M41" s="89"/>
      <c r="N41" s="34"/>
      <c r="O41" s="40"/>
      <c r="P41" s="116"/>
      <c r="Q41" s="116"/>
      <c r="R41" s="141"/>
      <c r="S41" s="142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1"/>
      <c r="AE41" s="121"/>
      <c r="AF41" s="121"/>
      <c r="AG41" s="122"/>
      <c r="AH41" s="134">
        <v>28</v>
      </c>
      <c r="AI41" s="130">
        <f t="shared" si="16"/>
        <v>640</v>
      </c>
      <c r="AJ41" s="138">
        <f>SUM(AI$14:AI41)</f>
        <v>17920</v>
      </c>
      <c r="AK41" s="131">
        <f t="shared" si="17"/>
        <v>0.2</v>
      </c>
      <c r="AL41" s="138">
        <f t="shared" si="18"/>
        <v>900</v>
      </c>
      <c r="AM41" s="134"/>
      <c r="AN41" s="134"/>
      <c r="AO41" s="134">
        <f t="shared" si="19"/>
        <v>0.05</v>
      </c>
      <c r="AP41" s="138">
        <f>SUM(AO$14:AO41)*AP$11</f>
        <v>105980.00000000004</v>
      </c>
      <c r="AQ41" s="131">
        <f t="shared" si="20"/>
        <v>0.025</v>
      </c>
      <c r="AR41" s="138">
        <f>SUM(AQ$14:AQ41)*AR$11</f>
        <v>77168.00000000001</v>
      </c>
      <c r="AS41" s="131">
        <f t="shared" si="21"/>
        <v>0.016666666666666666</v>
      </c>
      <c r="AT41" s="138">
        <f>SUM(AS$14:AS41)*AT$11</f>
        <v>117444.44444444444</v>
      </c>
      <c r="AU41" s="134"/>
      <c r="AV41" s="134"/>
      <c r="AW41" s="134">
        <f t="shared" si="6"/>
        <v>28</v>
      </c>
      <c r="AX41" s="138">
        <f t="shared" si="22"/>
        <v>1375859.5859536005</v>
      </c>
      <c r="AY41" s="138">
        <f t="shared" si="7"/>
        <v>11655451.49375</v>
      </c>
      <c r="AZ41" s="138">
        <f t="shared" si="8"/>
        <v>28</v>
      </c>
      <c r="BA41" s="138">
        <f t="shared" si="30"/>
        <v>1745466.2526202672</v>
      </c>
      <c r="BB41" s="138">
        <f t="shared" si="30"/>
        <v>11655451.49375</v>
      </c>
      <c r="BC41" s="122"/>
      <c r="BD41" s="122"/>
      <c r="BE41" s="122"/>
      <c r="BF41" s="122"/>
      <c r="BG41" s="122"/>
      <c r="BH41" s="122"/>
      <c r="BI41" s="122"/>
      <c r="BJ41" s="122"/>
      <c r="BK41" s="122"/>
      <c r="BL41" s="145"/>
      <c r="BM41" s="145"/>
      <c r="BN41" s="145"/>
      <c r="BO41" s="145"/>
      <c r="BP41" s="145"/>
      <c r="BQ41" s="145"/>
      <c r="BR41" s="145"/>
      <c r="BS41" s="130">
        <v>27</v>
      </c>
      <c r="BT41" s="131">
        <f t="shared" si="24"/>
        <v>0.5</v>
      </c>
      <c r="BU41" s="138">
        <f>SUM(BT$15:BT41)*BU$13</f>
        <v>43200</v>
      </c>
      <c r="BV41" s="131">
        <f t="shared" si="25"/>
        <v>0.3333333333333333</v>
      </c>
      <c r="BW41" s="138">
        <f>SUM(BV$15:BV41)*BW$13</f>
        <v>40499.99999999999</v>
      </c>
      <c r="BX41" s="131"/>
      <c r="BY41" s="131"/>
      <c r="BZ41" s="131">
        <f t="shared" si="26"/>
        <v>0.1</v>
      </c>
      <c r="CA41" s="138">
        <f>SUM(BZ$15:BZ41)*CA$13</f>
        <v>204390.0000000001</v>
      </c>
      <c r="CB41" s="131">
        <f t="shared" si="27"/>
        <v>0.03571428571428571</v>
      </c>
      <c r="CC41" s="138">
        <f>SUM(CB$15:CB41)*CC$13</f>
        <v>106302.85714285709</v>
      </c>
      <c r="CD41" s="131">
        <f t="shared" si="28"/>
        <v>0.025</v>
      </c>
      <c r="CE41" s="138">
        <f>SUM(CD$15:CD41)*CE$13</f>
        <v>88875.00000000004</v>
      </c>
      <c r="CF41" s="131"/>
      <c r="CG41" s="131"/>
      <c r="CH41" s="130">
        <f t="shared" si="15"/>
        <v>27</v>
      </c>
      <c r="CI41" s="130">
        <f t="shared" si="29"/>
        <v>11239185.368973218</v>
      </c>
      <c r="CJ41" s="145"/>
      <c r="CK41" s="145"/>
      <c r="CL41" s="145"/>
      <c r="CM41" s="145"/>
      <c r="CN41" s="145"/>
      <c r="CO41" s="145"/>
      <c r="CP41" s="145"/>
      <c r="CQ41" s="145"/>
      <c r="CR41" s="145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</row>
    <row r="42" spans="1:108" ht="15.75">
      <c r="A42" s="47"/>
      <c r="B42" s="47"/>
      <c r="C42" s="83"/>
      <c r="D42" s="47"/>
      <c r="E42" s="86" t="str">
        <f>Begriffe!B43</f>
        <v>Schottervolumen</v>
      </c>
      <c r="F42" s="47"/>
      <c r="G42" s="47"/>
      <c r="H42" s="87">
        <v>3.8</v>
      </c>
      <c r="I42" s="88" t="str">
        <f>Begriffe!B56</f>
        <v>t /m</v>
      </c>
      <c r="J42" s="47"/>
      <c r="K42" s="47"/>
      <c r="L42" s="47"/>
      <c r="M42" s="89"/>
      <c r="N42" s="34"/>
      <c r="O42" s="40"/>
      <c r="P42" s="116"/>
      <c r="Q42" s="116"/>
      <c r="R42" s="141"/>
      <c r="S42" s="142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1"/>
      <c r="AE42" s="121"/>
      <c r="AF42" s="121"/>
      <c r="AG42" s="122"/>
      <c r="AH42" s="134">
        <v>29</v>
      </c>
      <c r="AI42" s="130">
        <f t="shared" si="16"/>
        <v>640</v>
      </c>
      <c r="AJ42" s="138">
        <f>SUM(AI$14:AI42)</f>
        <v>18560</v>
      </c>
      <c r="AK42" s="131">
        <f t="shared" si="17"/>
        <v>0.2</v>
      </c>
      <c r="AL42" s="138">
        <f t="shared" si="18"/>
        <v>900</v>
      </c>
      <c r="AM42" s="134"/>
      <c r="AN42" s="134"/>
      <c r="AO42" s="134">
        <f t="shared" si="19"/>
        <v>0.05</v>
      </c>
      <c r="AP42" s="138">
        <f>SUM(AO$14:AO42)*AP$11</f>
        <v>109765.00000000004</v>
      </c>
      <c r="AQ42" s="131">
        <f t="shared" si="20"/>
        <v>0.025</v>
      </c>
      <c r="AR42" s="138">
        <f>SUM(AQ$14:AQ42)*AR$11</f>
        <v>79924.00000000003</v>
      </c>
      <c r="AS42" s="131">
        <f t="shared" si="21"/>
        <v>0.016666666666666666</v>
      </c>
      <c r="AT42" s="138">
        <f>SUM(AS$14:AS42)*AT$11</f>
        <v>121638.88888888889</v>
      </c>
      <c r="AU42" s="134"/>
      <c r="AV42" s="134"/>
      <c r="AW42" s="134">
        <f t="shared" si="6"/>
        <v>29</v>
      </c>
      <c r="AX42" s="138">
        <f t="shared" si="22"/>
        <v>1424858.9739098004</v>
      </c>
      <c r="AY42" s="138">
        <f t="shared" si="7"/>
        <v>12071717.618526788</v>
      </c>
      <c r="AZ42" s="138">
        <f t="shared" si="8"/>
        <v>29</v>
      </c>
      <c r="BA42" s="138">
        <f t="shared" si="30"/>
        <v>1794465.6405764672</v>
      </c>
      <c r="BB42" s="138">
        <f t="shared" si="30"/>
        <v>12071717.618526788</v>
      </c>
      <c r="BC42" s="122"/>
      <c r="BD42" s="122"/>
      <c r="BE42" s="122"/>
      <c r="BF42" s="122"/>
      <c r="BG42" s="122"/>
      <c r="BH42" s="122"/>
      <c r="BI42" s="122"/>
      <c r="BJ42" s="122"/>
      <c r="BK42" s="122"/>
      <c r="BL42" s="145"/>
      <c r="BM42" s="145"/>
      <c r="BN42" s="145"/>
      <c r="BO42" s="145"/>
      <c r="BP42" s="145"/>
      <c r="BQ42" s="145"/>
      <c r="BR42" s="145"/>
      <c r="BS42" s="130">
        <v>28</v>
      </c>
      <c r="BT42" s="131">
        <f t="shared" si="24"/>
        <v>0.5</v>
      </c>
      <c r="BU42" s="138">
        <f>SUM(BT$15:BT42)*BU$13</f>
        <v>44800</v>
      </c>
      <c r="BV42" s="131">
        <f t="shared" si="25"/>
        <v>0.3333333333333333</v>
      </c>
      <c r="BW42" s="138">
        <f>SUM(BV$15:BV42)*BW$13</f>
        <v>41999.99999999999</v>
      </c>
      <c r="BX42" s="131"/>
      <c r="BY42" s="131"/>
      <c r="BZ42" s="131">
        <f t="shared" si="26"/>
        <v>0.1</v>
      </c>
      <c r="CA42" s="138">
        <f>SUM(BZ$15:BZ42)*CA$13</f>
        <v>211960.0000000001</v>
      </c>
      <c r="CB42" s="131">
        <f t="shared" si="27"/>
        <v>0.03571428571428571</v>
      </c>
      <c r="CC42" s="138">
        <f>SUM(CB$15:CB42)*CC$13</f>
        <v>110239.99999999994</v>
      </c>
      <c r="CD42" s="131">
        <f t="shared" si="28"/>
        <v>0.025</v>
      </c>
      <c r="CE42" s="138">
        <f>SUM(CD$15:CD42)*CE$13</f>
        <v>92166.66666666672</v>
      </c>
      <c r="CF42" s="131"/>
      <c r="CG42" s="131"/>
      <c r="CH42" s="130">
        <f t="shared" si="15"/>
        <v>28</v>
      </c>
      <c r="CI42" s="130">
        <f t="shared" si="29"/>
        <v>11655451.49375</v>
      </c>
      <c r="CJ42" s="145"/>
      <c r="CK42" s="145"/>
      <c r="CL42" s="145"/>
      <c r="CM42" s="145"/>
      <c r="CN42" s="145"/>
      <c r="CO42" s="145"/>
      <c r="CP42" s="145"/>
      <c r="CQ42" s="145"/>
      <c r="CR42" s="145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</row>
    <row r="43" spans="1:108" ht="15.75">
      <c r="A43" s="47"/>
      <c r="B43" s="47"/>
      <c r="C43" s="83"/>
      <c r="D43" s="47"/>
      <c r="E43" s="86" t="str">
        <f>Begriffe!B44</f>
        <v>Schwellentyp</v>
      </c>
      <c r="F43" s="47"/>
      <c r="G43" s="47"/>
      <c r="H43" s="87" t="s">
        <v>45</v>
      </c>
      <c r="I43" s="88" t="str">
        <f>Begriffe!B57</f>
        <v>Typ</v>
      </c>
      <c r="J43" s="47"/>
      <c r="K43" s="47"/>
      <c r="L43" s="47"/>
      <c r="M43" s="89"/>
      <c r="N43" s="34"/>
      <c r="O43" s="40"/>
      <c r="P43" s="116"/>
      <c r="Q43" s="116"/>
      <c r="R43" s="141"/>
      <c r="S43" s="142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1"/>
      <c r="AE43" s="121"/>
      <c r="AF43" s="121"/>
      <c r="AG43" s="122"/>
      <c r="AH43" s="134">
        <v>30</v>
      </c>
      <c r="AI43" s="130">
        <f t="shared" si="16"/>
        <v>640</v>
      </c>
      <c r="AJ43" s="138">
        <f>SUM(AI$14:AI43)</f>
        <v>19200</v>
      </c>
      <c r="AK43" s="131">
        <f t="shared" si="17"/>
        <v>0.2</v>
      </c>
      <c r="AL43" s="138">
        <f t="shared" si="18"/>
        <v>900</v>
      </c>
      <c r="AM43" s="134"/>
      <c r="AN43" s="134"/>
      <c r="AO43" s="134">
        <f t="shared" si="19"/>
        <v>0.05</v>
      </c>
      <c r="AP43" s="138">
        <f>SUM(AO$14:AO43)*AP$11</f>
        <v>113550.00000000004</v>
      </c>
      <c r="AQ43" s="131">
        <f t="shared" si="20"/>
        <v>0.025</v>
      </c>
      <c r="AR43" s="138">
        <f>SUM(AQ$14:AQ43)*AR$11</f>
        <v>82680.00000000003</v>
      </c>
      <c r="AS43" s="131">
        <f t="shared" si="21"/>
        <v>0.016666666666666666</v>
      </c>
      <c r="AT43" s="138">
        <f>SUM(AS$14:AS43)*AT$11</f>
        <v>125833.33333333333</v>
      </c>
      <c r="AU43" s="134"/>
      <c r="AV43" s="134"/>
      <c r="AW43" s="134">
        <f t="shared" si="6"/>
        <v>30</v>
      </c>
      <c r="AX43" s="138">
        <f t="shared" si="22"/>
        <v>1473858.3618660006</v>
      </c>
      <c r="AY43" s="138">
        <f t="shared" si="7"/>
        <v>12487983.743303576</v>
      </c>
      <c r="AZ43" s="138">
        <f t="shared" si="8"/>
        <v>30</v>
      </c>
      <c r="BA43" s="138">
        <f t="shared" si="30"/>
        <v>1843465.0285326673</v>
      </c>
      <c r="BB43" s="138">
        <f t="shared" si="30"/>
        <v>12487983.743303576</v>
      </c>
      <c r="BC43" s="122"/>
      <c r="BD43" s="122"/>
      <c r="BE43" s="122"/>
      <c r="BF43" s="122"/>
      <c r="BG43" s="122"/>
      <c r="BH43" s="122"/>
      <c r="BI43" s="122"/>
      <c r="BJ43" s="122"/>
      <c r="BK43" s="122"/>
      <c r="BL43" s="145"/>
      <c r="BM43" s="145"/>
      <c r="BN43" s="145"/>
      <c r="BO43" s="145"/>
      <c r="BP43" s="145"/>
      <c r="BQ43" s="145"/>
      <c r="BR43" s="145"/>
      <c r="BS43" s="130">
        <v>29</v>
      </c>
      <c r="BT43" s="131">
        <f t="shared" si="24"/>
        <v>0.5</v>
      </c>
      <c r="BU43" s="138">
        <f>SUM(BT$15:BT43)*BU$13</f>
        <v>46400</v>
      </c>
      <c r="BV43" s="131">
        <f t="shared" si="25"/>
        <v>0.3333333333333333</v>
      </c>
      <c r="BW43" s="138">
        <f>SUM(BV$15:BV43)*BW$13</f>
        <v>43500</v>
      </c>
      <c r="BX43" s="131"/>
      <c r="BY43" s="131"/>
      <c r="BZ43" s="131">
        <f t="shared" si="26"/>
        <v>0.1</v>
      </c>
      <c r="CA43" s="138">
        <f>SUM(BZ$15:BZ43)*CA$13</f>
        <v>219530.0000000001</v>
      </c>
      <c r="CB43" s="131">
        <f t="shared" si="27"/>
        <v>0.03571428571428571</v>
      </c>
      <c r="CC43" s="138">
        <f>SUM(CB$15:CB43)*CC$13</f>
        <v>114177.1428571428</v>
      </c>
      <c r="CD43" s="131">
        <f t="shared" si="28"/>
        <v>0.025</v>
      </c>
      <c r="CE43" s="138">
        <f>SUM(CD$15:CD43)*CE$13</f>
        <v>95458.33333333339</v>
      </c>
      <c r="CF43" s="131"/>
      <c r="CG43" s="131"/>
      <c r="CH43" s="130">
        <f t="shared" si="15"/>
        <v>29</v>
      </c>
      <c r="CI43" s="130">
        <f t="shared" si="29"/>
        <v>12071717.618526788</v>
      </c>
      <c r="CJ43" s="145"/>
      <c r="CK43" s="145"/>
      <c r="CL43" s="145"/>
      <c r="CM43" s="145"/>
      <c r="CN43" s="145"/>
      <c r="CO43" s="145"/>
      <c r="CP43" s="145"/>
      <c r="CQ43" s="145"/>
      <c r="CR43" s="145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</row>
    <row r="44" spans="1:108" ht="15.75">
      <c r="A44" s="47"/>
      <c r="B44" s="47"/>
      <c r="C44" s="83" t="s">
        <v>0</v>
      </c>
      <c r="D44" s="47"/>
      <c r="E44" s="86" t="str">
        <f>Begriffe!B45</f>
        <v>Schwellenabstand</v>
      </c>
      <c r="F44" s="47"/>
      <c r="G44" s="47"/>
      <c r="H44" s="87">
        <v>0.6</v>
      </c>
      <c r="I44" s="88" t="str">
        <f>Begriffe!B58</f>
        <v>m</v>
      </c>
      <c r="J44" s="47"/>
      <c r="K44" s="47"/>
      <c r="L44" s="47"/>
      <c r="M44" s="89"/>
      <c r="N44" s="34"/>
      <c r="O44" s="40"/>
      <c r="P44" s="116"/>
      <c r="Q44" s="116"/>
      <c r="R44" s="141"/>
      <c r="S44" s="142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1"/>
      <c r="AE44" s="121"/>
      <c r="AF44" s="121"/>
      <c r="AG44" s="122"/>
      <c r="AH44" s="134">
        <v>31</v>
      </c>
      <c r="AI44" s="130">
        <f t="shared" si="16"/>
        <v>640</v>
      </c>
      <c r="AJ44" s="138">
        <f>SUM(AI$14:AI44)</f>
        <v>19840</v>
      </c>
      <c r="AK44" s="131">
        <f t="shared" si="17"/>
        <v>0.2</v>
      </c>
      <c r="AL44" s="138">
        <f t="shared" si="18"/>
        <v>900</v>
      </c>
      <c r="AM44" s="134"/>
      <c r="AN44" s="134"/>
      <c r="AO44" s="134">
        <f t="shared" si="19"/>
        <v>0.05</v>
      </c>
      <c r="AP44" s="138">
        <f>SUM(AO$14:AO44)*AP$11</f>
        <v>117335.00000000006</v>
      </c>
      <c r="AQ44" s="131">
        <f t="shared" si="20"/>
        <v>0.025</v>
      </c>
      <c r="AR44" s="138">
        <f>SUM(AQ$14:AQ44)*AR$11</f>
        <v>85436.00000000003</v>
      </c>
      <c r="AS44" s="131">
        <f t="shared" si="21"/>
        <v>0.016666666666666666</v>
      </c>
      <c r="AT44" s="138">
        <f>SUM(AS$14:AS44)*AT$11</f>
        <v>130027.77777777777</v>
      </c>
      <c r="AU44" s="134"/>
      <c r="AV44" s="134"/>
      <c r="AW44" s="134">
        <f t="shared" si="6"/>
        <v>31</v>
      </c>
      <c r="AX44" s="138">
        <f t="shared" si="22"/>
        <v>1522857.7498222007</v>
      </c>
      <c r="AY44" s="138">
        <f t="shared" si="7"/>
        <v>12904249.868080359</v>
      </c>
      <c r="AZ44" s="138">
        <f t="shared" si="8"/>
        <v>31</v>
      </c>
      <c r="BA44" s="138">
        <f t="shared" si="30"/>
        <v>1892464.4164888675</v>
      </c>
      <c r="BB44" s="138">
        <f t="shared" si="30"/>
        <v>12904249.868080359</v>
      </c>
      <c r="BC44" s="122"/>
      <c r="BD44" s="122"/>
      <c r="BE44" s="122"/>
      <c r="BF44" s="122"/>
      <c r="BG44" s="122"/>
      <c r="BH44" s="122"/>
      <c r="BI44" s="122"/>
      <c r="BJ44" s="122"/>
      <c r="BK44" s="122"/>
      <c r="BL44" s="145"/>
      <c r="BM44" s="145"/>
      <c r="BN44" s="145"/>
      <c r="BO44" s="145"/>
      <c r="BP44" s="145"/>
      <c r="BQ44" s="145"/>
      <c r="BR44" s="145"/>
      <c r="BS44" s="130">
        <v>30</v>
      </c>
      <c r="BT44" s="131">
        <f t="shared" si="24"/>
        <v>0.5</v>
      </c>
      <c r="BU44" s="138">
        <f>SUM(BT$15:BT44)*BU$13</f>
        <v>48000</v>
      </c>
      <c r="BV44" s="131">
        <f t="shared" si="25"/>
        <v>0.3333333333333333</v>
      </c>
      <c r="BW44" s="138">
        <f>SUM(BV$15:BV44)*BW$13</f>
        <v>45000</v>
      </c>
      <c r="BX44" s="131"/>
      <c r="BY44" s="131"/>
      <c r="BZ44" s="131">
        <f t="shared" si="26"/>
        <v>0.1</v>
      </c>
      <c r="CA44" s="138">
        <f>SUM(BZ$15:BZ44)*CA$13</f>
        <v>227100.0000000001</v>
      </c>
      <c r="CB44" s="131">
        <f t="shared" si="27"/>
        <v>0.03571428571428571</v>
      </c>
      <c r="CC44" s="138">
        <f>SUM(CB$15:CB44)*CC$13</f>
        <v>118114.28571428567</v>
      </c>
      <c r="CD44" s="131">
        <f t="shared" si="28"/>
        <v>0.025</v>
      </c>
      <c r="CE44" s="138">
        <f>SUM(CD$15:CD44)*CE$13</f>
        <v>98750.00000000006</v>
      </c>
      <c r="CF44" s="131"/>
      <c r="CG44" s="131"/>
      <c r="CH44" s="130">
        <f t="shared" si="15"/>
        <v>30</v>
      </c>
      <c r="CI44" s="130">
        <f t="shared" si="29"/>
        <v>12487983.743303576</v>
      </c>
      <c r="CJ44" s="145"/>
      <c r="CK44" s="145"/>
      <c r="CL44" s="145"/>
      <c r="CM44" s="145"/>
      <c r="CN44" s="145"/>
      <c r="CO44" s="145"/>
      <c r="CP44" s="145"/>
      <c r="CQ44" s="145"/>
      <c r="CR44" s="145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</row>
    <row r="45" spans="1:108" ht="105" customHeight="1">
      <c r="A45" s="44"/>
      <c r="B45" s="44"/>
      <c r="C45" s="45"/>
      <c r="D45" s="44"/>
      <c r="E45" s="44"/>
      <c r="F45" s="44"/>
      <c r="G45" s="44"/>
      <c r="H45" s="92"/>
      <c r="I45" s="46"/>
      <c r="J45" s="44"/>
      <c r="K45" s="44"/>
      <c r="L45" s="44"/>
      <c r="M45" s="67"/>
      <c r="N45" s="34"/>
      <c r="O45" s="40"/>
      <c r="P45" s="116"/>
      <c r="Q45" s="116"/>
      <c r="R45" s="141"/>
      <c r="S45" s="142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1"/>
      <c r="AE45" s="121"/>
      <c r="AF45" s="121"/>
      <c r="AG45" s="122"/>
      <c r="AH45" s="134">
        <v>32</v>
      </c>
      <c r="AI45" s="130">
        <f t="shared" si="16"/>
        <v>640</v>
      </c>
      <c r="AJ45" s="138">
        <f>SUM(AI$14:AI45)</f>
        <v>20480</v>
      </c>
      <c r="AK45" s="131">
        <f t="shared" si="17"/>
        <v>0.2</v>
      </c>
      <c r="AL45" s="138">
        <f t="shared" si="18"/>
        <v>900</v>
      </c>
      <c r="AM45" s="134"/>
      <c r="AN45" s="134"/>
      <c r="AO45" s="134">
        <f t="shared" si="19"/>
        <v>0.05</v>
      </c>
      <c r="AP45" s="138">
        <f>SUM(AO$14:AO45)*AP$11</f>
        <v>121120.00000000006</v>
      </c>
      <c r="AQ45" s="131">
        <f t="shared" si="20"/>
        <v>0.025</v>
      </c>
      <c r="AR45" s="138">
        <f>SUM(AQ$14:AQ45)*AR$11</f>
        <v>88192.00000000003</v>
      </c>
      <c r="AS45" s="131">
        <f t="shared" si="21"/>
        <v>0.016666666666666666</v>
      </c>
      <c r="AT45" s="138">
        <f>SUM(AS$14:AS45)*AT$11</f>
        <v>134222.22222222222</v>
      </c>
      <c r="AU45" s="134"/>
      <c r="AV45" s="134"/>
      <c r="AW45" s="134">
        <f t="shared" si="6"/>
        <v>32</v>
      </c>
      <c r="AX45" s="138">
        <f t="shared" si="22"/>
        <v>1571857.1377784007</v>
      </c>
      <c r="AY45" s="138">
        <f t="shared" si="7"/>
        <v>13320515.992857145</v>
      </c>
      <c r="AZ45" s="138">
        <f t="shared" si="8"/>
        <v>32</v>
      </c>
      <c r="BA45" s="138">
        <f aca="true" t="shared" si="31" ref="BA45:BB53">BA$13+AX45</f>
        <v>1941463.8044450674</v>
      </c>
      <c r="BB45" s="138">
        <f t="shared" si="31"/>
        <v>13320515.992857145</v>
      </c>
      <c r="BC45" s="122"/>
      <c r="BD45" s="122"/>
      <c r="BE45" s="122"/>
      <c r="BF45" s="122"/>
      <c r="BG45" s="122"/>
      <c r="BH45" s="122"/>
      <c r="BI45" s="122"/>
      <c r="BJ45" s="122"/>
      <c r="BK45" s="122"/>
      <c r="BL45" s="145"/>
      <c r="BM45" s="145"/>
      <c r="BN45" s="145"/>
      <c r="BO45" s="145"/>
      <c r="BP45" s="145"/>
      <c r="BQ45" s="145"/>
      <c r="BR45" s="145"/>
      <c r="BS45" s="130">
        <v>31</v>
      </c>
      <c r="BT45" s="131">
        <f>1/BT$13</f>
        <v>0.5</v>
      </c>
      <c r="BU45" s="138">
        <f>SUM(BT$15:BT45)*BU$13</f>
        <v>49600</v>
      </c>
      <c r="BV45" s="131">
        <f>IF(BV$13=0,0,1/BV$13)</f>
        <v>0.3333333333333333</v>
      </c>
      <c r="BW45" s="138">
        <f>SUM(BV$15:BV45)*BW$13</f>
        <v>46500</v>
      </c>
      <c r="BX45" s="131"/>
      <c r="BY45" s="131"/>
      <c r="BZ45" s="131">
        <f>IF(BZ$13=0,0,1/BZ$13)</f>
        <v>0.1</v>
      </c>
      <c r="CA45" s="138">
        <f>SUM(BZ$15:BZ45)*CA$13</f>
        <v>234670.00000000012</v>
      </c>
      <c r="CB45" s="131">
        <f>IF(CB$13=0,0,1/CB$13)</f>
        <v>0.03571428571428571</v>
      </c>
      <c r="CC45" s="138">
        <f>SUM(CB$15:CB45)*CC$13</f>
        <v>122051.42857142854</v>
      </c>
      <c r="CD45" s="131">
        <f>IF(CD$13=0,0,1/CD$13)</f>
        <v>0.025</v>
      </c>
      <c r="CE45" s="138">
        <f>SUM(CD$15:CD45)*CE$13</f>
        <v>102041.66666666673</v>
      </c>
      <c r="CF45" s="131"/>
      <c r="CG45" s="131"/>
      <c r="CH45" s="130">
        <f t="shared" si="15"/>
        <v>31</v>
      </c>
      <c r="CI45" s="130">
        <f>(BU45+BW45+CA45+CC45+CE45)*BX$13*BY$13*CF$13*CG$13</f>
        <v>12904249.868080359</v>
      </c>
      <c r="CJ45" s="145"/>
      <c r="CK45" s="145"/>
      <c r="CL45" s="145"/>
      <c r="CM45" s="145"/>
      <c r="CN45" s="145"/>
      <c r="CO45" s="145"/>
      <c r="CP45" s="145"/>
      <c r="CQ45" s="145"/>
      <c r="CR45" s="145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</row>
    <row r="46" spans="1:108" ht="15.75">
      <c r="A46" s="44"/>
      <c r="B46" s="44"/>
      <c r="C46" s="45"/>
      <c r="D46" s="44"/>
      <c r="E46" s="44"/>
      <c r="F46" s="44"/>
      <c r="G46" s="44"/>
      <c r="H46" s="92"/>
      <c r="I46" s="46"/>
      <c r="J46" s="44"/>
      <c r="K46" s="44"/>
      <c r="L46" s="44"/>
      <c r="M46" s="67"/>
      <c r="N46" s="34"/>
      <c r="O46" s="40"/>
      <c r="P46" s="116"/>
      <c r="Q46" s="116"/>
      <c r="R46" s="141"/>
      <c r="S46" s="142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1"/>
      <c r="AE46" s="121"/>
      <c r="AF46" s="121"/>
      <c r="AG46" s="122"/>
      <c r="AH46" s="134">
        <v>33</v>
      </c>
      <c r="AI46" s="130">
        <f aca="true" t="shared" si="32" ref="AI46:AI76">1/AI$11*AJ$11</f>
        <v>640</v>
      </c>
      <c r="AJ46" s="138">
        <f>SUM(AI$14:AI46)</f>
        <v>21120</v>
      </c>
      <c r="AK46" s="131">
        <f aca="true" t="shared" si="33" ref="AK46:AK76">IF(AK$11=0,0,1/AK$11)</f>
        <v>0.2</v>
      </c>
      <c r="AL46" s="138">
        <f aca="true" t="shared" si="34" ref="AL46:AL76">AL$11*AK46</f>
        <v>900</v>
      </c>
      <c r="AM46" s="134"/>
      <c r="AN46" s="134"/>
      <c r="AO46" s="134">
        <f aca="true" t="shared" si="35" ref="AO46:AO76">IF(AO$11=0,0,1/AO$11)</f>
        <v>0.05</v>
      </c>
      <c r="AP46" s="138">
        <f>SUM(AO$14:AO46)*AP$11</f>
        <v>124905.00000000006</v>
      </c>
      <c r="AQ46" s="131">
        <f aca="true" t="shared" si="36" ref="AQ46:AQ76">IF(AQ$11=0,0,1/AQ$11)</f>
        <v>0.025</v>
      </c>
      <c r="AR46" s="138">
        <f>SUM(AQ$14:AQ46)*AR$11</f>
        <v>90948.00000000003</v>
      </c>
      <c r="AS46" s="131">
        <f aca="true" t="shared" si="37" ref="AS46:AS76">IF(AS$11=0,0,1/AS$11)</f>
        <v>0.016666666666666666</v>
      </c>
      <c r="AT46" s="138">
        <f>SUM(AS$14:AS46)*AT$11</f>
        <v>138416.6666666667</v>
      </c>
      <c r="AU46" s="134"/>
      <c r="AV46" s="134"/>
      <c r="AW46" s="134">
        <f aca="true" t="shared" si="38" ref="AW46:AW76">AH46</f>
        <v>33</v>
      </c>
      <c r="AX46" s="138">
        <f aca="true" t="shared" si="39" ref="AX46:AX76">(AJ46+AL46+AP46+AR46+AT46)*AM$11*AN$11*AU$11*AV$11</f>
        <v>1620856.5257346004</v>
      </c>
      <c r="AY46" s="138">
        <f aca="true" t="shared" si="40" ref="AY46:AY76">CI47</f>
        <v>13736782.117633931</v>
      </c>
      <c r="AZ46" s="138">
        <f aca="true" t="shared" si="41" ref="AZ46:AZ73">AW46</f>
        <v>33</v>
      </c>
      <c r="BA46" s="138">
        <f t="shared" si="31"/>
        <v>1990463.1924012671</v>
      </c>
      <c r="BB46" s="138">
        <f t="shared" si="31"/>
        <v>13736782.117633931</v>
      </c>
      <c r="BC46" s="122"/>
      <c r="BD46" s="122"/>
      <c r="BE46" s="122"/>
      <c r="BF46" s="122"/>
      <c r="BG46" s="122"/>
      <c r="BH46" s="122"/>
      <c r="BI46" s="122"/>
      <c r="BJ46" s="122"/>
      <c r="BK46" s="122"/>
      <c r="BL46" s="145"/>
      <c r="BM46" s="145"/>
      <c r="BN46" s="145"/>
      <c r="BO46" s="145"/>
      <c r="BP46" s="145"/>
      <c r="BQ46" s="145"/>
      <c r="BR46" s="145"/>
      <c r="BS46" s="130">
        <v>32</v>
      </c>
      <c r="BT46" s="131">
        <f>1/BT$13</f>
        <v>0.5</v>
      </c>
      <c r="BU46" s="138">
        <f>SUM(BT$15:BT46)*BU$13</f>
        <v>51200</v>
      </c>
      <c r="BV46" s="131">
        <f>IF(BV$13=0,0,1/BV$13)</f>
        <v>0.3333333333333333</v>
      </c>
      <c r="BW46" s="138">
        <f>SUM(BV$15:BV46)*BW$13</f>
        <v>48000.00000000001</v>
      </c>
      <c r="BX46" s="131"/>
      <c r="BY46" s="131"/>
      <c r="BZ46" s="131">
        <f>IF(BZ$13=0,0,1/BZ$13)</f>
        <v>0.1</v>
      </c>
      <c r="CA46" s="138">
        <f>SUM(BZ$15:BZ46)*CA$13</f>
        <v>242240.00000000012</v>
      </c>
      <c r="CB46" s="131">
        <f>IF(CB$13=0,0,1/CB$13)</f>
        <v>0.03571428571428571</v>
      </c>
      <c r="CC46" s="138">
        <f>SUM(CB$15:CB46)*CC$13</f>
        <v>125988.5714285714</v>
      </c>
      <c r="CD46" s="131">
        <f>IF(CD$13=0,0,1/CD$13)</f>
        <v>0.025</v>
      </c>
      <c r="CE46" s="138">
        <f>SUM(CD$15:CD46)*CE$13</f>
        <v>105333.3333333334</v>
      </c>
      <c r="CF46" s="131"/>
      <c r="CG46" s="131"/>
      <c r="CH46" s="130">
        <f t="shared" si="15"/>
        <v>32</v>
      </c>
      <c r="CI46" s="130">
        <f>(BU46+BW46+CA46+CC46+CE46)*BX$13*BY$13*CF$13*CG$13</f>
        <v>13320515.992857145</v>
      </c>
      <c r="CJ46" s="145"/>
      <c r="CK46" s="145"/>
      <c r="CL46" s="145"/>
      <c r="CM46" s="145"/>
      <c r="CN46" s="145"/>
      <c r="CO46" s="145"/>
      <c r="CP46" s="145"/>
      <c r="CQ46" s="145"/>
      <c r="CR46" s="145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</row>
    <row r="47" spans="1:108" ht="15.75">
      <c r="A47" s="44"/>
      <c r="B47" s="44"/>
      <c r="C47" s="45"/>
      <c r="D47" s="44"/>
      <c r="E47" s="44"/>
      <c r="F47" s="44"/>
      <c r="G47" s="44"/>
      <c r="H47" s="92"/>
      <c r="I47" s="46"/>
      <c r="J47" s="44"/>
      <c r="K47" s="44"/>
      <c r="L47" s="44"/>
      <c r="M47" s="67"/>
      <c r="N47" s="34"/>
      <c r="O47" s="40"/>
      <c r="P47" s="116"/>
      <c r="Q47" s="116"/>
      <c r="R47" s="141"/>
      <c r="S47" s="142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1"/>
      <c r="AE47" s="121"/>
      <c r="AF47" s="121"/>
      <c r="AG47" s="122"/>
      <c r="AH47" s="134">
        <v>34</v>
      </c>
      <c r="AI47" s="130">
        <f t="shared" si="32"/>
        <v>640</v>
      </c>
      <c r="AJ47" s="138">
        <f>SUM(AI$14:AI47)</f>
        <v>21760</v>
      </c>
      <c r="AK47" s="131">
        <f t="shared" si="33"/>
        <v>0.2</v>
      </c>
      <c r="AL47" s="138">
        <f t="shared" si="34"/>
        <v>900</v>
      </c>
      <c r="AM47" s="134"/>
      <c r="AN47" s="134"/>
      <c r="AO47" s="134">
        <f t="shared" si="35"/>
        <v>0.05</v>
      </c>
      <c r="AP47" s="138">
        <f>SUM(AO$14:AO47)*AP$11</f>
        <v>128690.00000000006</v>
      </c>
      <c r="AQ47" s="131">
        <f t="shared" si="36"/>
        <v>0.025</v>
      </c>
      <c r="AR47" s="138">
        <f>SUM(AQ$14:AQ47)*AR$11</f>
        <v>93704.00000000003</v>
      </c>
      <c r="AS47" s="131">
        <f t="shared" si="37"/>
        <v>0.016666666666666666</v>
      </c>
      <c r="AT47" s="138">
        <f>SUM(AS$14:AS47)*AT$11</f>
        <v>142611.11111111115</v>
      </c>
      <c r="AU47" s="134"/>
      <c r="AV47" s="134"/>
      <c r="AW47" s="134">
        <f t="shared" si="38"/>
        <v>34</v>
      </c>
      <c r="AX47" s="138">
        <f t="shared" si="39"/>
        <v>1669855.913690801</v>
      </c>
      <c r="AY47" s="138">
        <f t="shared" si="40"/>
        <v>14153048.24241072</v>
      </c>
      <c r="AZ47" s="138">
        <f t="shared" si="41"/>
        <v>34</v>
      </c>
      <c r="BA47" s="138">
        <f t="shared" si="31"/>
        <v>2039462.5803574678</v>
      </c>
      <c r="BB47" s="138">
        <f t="shared" si="31"/>
        <v>14153048.24241072</v>
      </c>
      <c r="BC47" s="122"/>
      <c r="BD47" s="122"/>
      <c r="BE47" s="122"/>
      <c r="BF47" s="122"/>
      <c r="BG47" s="122"/>
      <c r="BH47" s="122"/>
      <c r="BI47" s="122"/>
      <c r="BJ47" s="122"/>
      <c r="BK47" s="122"/>
      <c r="BL47" s="145"/>
      <c r="BM47" s="145"/>
      <c r="BN47" s="145"/>
      <c r="BO47" s="145"/>
      <c r="BP47" s="145"/>
      <c r="BQ47" s="145"/>
      <c r="BR47" s="145"/>
      <c r="BS47" s="130">
        <v>33</v>
      </c>
      <c r="BT47" s="131">
        <f aca="true" t="shared" si="42" ref="BT47:BT74">1/BT$13</f>
        <v>0.5</v>
      </c>
      <c r="BU47" s="138">
        <f>SUM(BT$15:BT47)*BU$13</f>
        <v>52800</v>
      </c>
      <c r="BV47" s="131">
        <f aca="true" t="shared" si="43" ref="BV47:BV74">IF(BV$13=0,0,1/BV$13)</f>
        <v>0.3333333333333333</v>
      </c>
      <c r="BW47" s="138">
        <f>SUM(BV$15:BV47)*BW$13</f>
        <v>49500.00000000001</v>
      </c>
      <c r="BX47" s="131"/>
      <c r="BY47" s="131"/>
      <c r="BZ47" s="131">
        <f aca="true" t="shared" si="44" ref="BZ47:BZ74">IF(BZ$13=0,0,1/BZ$13)</f>
        <v>0.1</v>
      </c>
      <c r="CA47" s="138">
        <f>SUM(BZ$15:BZ47)*CA$13</f>
        <v>249810.00000000012</v>
      </c>
      <c r="CB47" s="131">
        <f aca="true" t="shared" si="45" ref="CB47:CB74">IF(CB$13=0,0,1/CB$13)</f>
        <v>0.03571428571428571</v>
      </c>
      <c r="CC47" s="138">
        <f>SUM(CB$15:CB47)*CC$13</f>
        <v>129925.71428571428</v>
      </c>
      <c r="CD47" s="131">
        <f aca="true" t="shared" si="46" ref="CD47:CD74">IF(CD$13=0,0,1/CD$13)</f>
        <v>0.025</v>
      </c>
      <c r="CE47" s="138">
        <f>SUM(CD$15:CD47)*CE$13</f>
        <v>108625.00000000007</v>
      </c>
      <c r="CF47" s="131"/>
      <c r="CG47" s="131"/>
      <c r="CH47" s="130">
        <f aca="true" t="shared" si="47" ref="CH47:CH74">BS47</f>
        <v>33</v>
      </c>
      <c r="CI47" s="130">
        <f aca="true" t="shared" si="48" ref="CI47:CI74">(BU47+BW47+CA47+CC47+CE47)*BX$13*BY$13*CF$13*CG$13</f>
        <v>13736782.117633931</v>
      </c>
      <c r="CJ47" s="145"/>
      <c r="CK47" s="145"/>
      <c r="CL47" s="145"/>
      <c r="CM47" s="145"/>
      <c r="CN47" s="145"/>
      <c r="CO47" s="145"/>
      <c r="CP47" s="145"/>
      <c r="CQ47" s="145"/>
      <c r="CR47" s="145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</row>
    <row r="48" spans="1:108" ht="15.75">
      <c r="A48" s="44"/>
      <c r="B48" s="44"/>
      <c r="C48" s="45"/>
      <c r="D48" s="44"/>
      <c r="E48" s="44"/>
      <c r="F48" s="44"/>
      <c r="G48" s="44"/>
      <c r="H48" s="92"/>
      <c r="I48" s="46"/>
      <c r="J48" s="44"/>
      <c r="K48" s="44"/>
      <c r="L48" s="44"/>
      <c r="M48" s="67"/>
      <c r="N48" s="34"/>
      <c r="O48" s="40"/>
      <c r="P48" s="116"/>
      <c r="Q48" s="116"/>
      <c r="R48" s="141"/>
      <c r="S48" s="142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1"/>
      <c r="AE48" s="121"/>
      <c r="AF48" s="121"/>
      <c r="AG48" s="122"/>
      <c r="AH48" s="134">
        <v>35</v>
      </c>
      <c r="AI48" s="130">
        <f t="shared" si="32"/>
        <v>640</v>
      </c>
      <c r="AJ48" s="138">
        <f>SUM(AI$14:AI48)</f>
        <v>22400</v>
      </c>
      <c r="AK48" s="131">
        <f t="shared" si="33"/>
        <v>0.2</v>
      </c>
      <c r="AL48" s="138">
        <f t="shared" si="34"/>
        <v>900</v>
      </c>
      <c r="AM48" s="134"/>
      <c r="AN48" s="134"/>
      <c r="AO48" s="134">
        <f t="shared" si="35"/>
        <v>0.05</v>
      </c>
      <c r="AP48" s="138">
        <f>SUM(AO$14:AO48)*AP$11</f>
        <v>132475.00000000006</v>
      </c>
      <c r="AQ48" s="131">
        <f t="shared" si="36"/>
        <v>0.025</v>
      </c>
      <c r="AR48" s="138">
        <f>SUM(AQ$14:AQ48)*AR$11</f>
        <v>96460.00000000003</v>
      </c>
      <c r="AS48" s="131">
        <f t="shared" si="37"/>
        <v>0.016666666666666666</v>
      </c>
      <c r="AT48" s="138">
        <f>SUM(AS$14:AS48)*AT$11</f>
        <v>146805.5555555556</v>
      </c>
      <c r="AU48" s="134"/>
      <c r="AV48" s="134"/>
      <c r="AW48" s="134">
        <f t="shared" si="38"/>
        <v>35</v>
      </c>
      <c r="AX48" s="138">
        <f t="shared" si="39"/>
        <v>1718855.3016470007</v>
      </c>
      <c r="AY48" s="138">
        <f t="shared" si="40"/>
        <v>14569314.367187504</v>
      </c>
      <c r="AZ48" s="138">
        <f t="shared" si="41"/>
        <v>35</v>
      </c>
      <c r="BA48" s="138">
        <f t="shared" si="31"/>
        <v>2088461.9683136675</v>
      </c>
      <c r="BB48" s="138">
        <f t="shared" si="31"/>
        <v>14569314.367187504</v>
      </c>
      <c r="BC48" s="122"/>
      <c r="BD48" s="122"/>
      <c r="BE48" s="122"/>
      <c r="BF48" s="122"/>
      <c r="BG48" s="122"/>
      <c r="BH48" s="122"/>
      <c r="BI48" s="122"/>
      <c r="BJ48" s="122"/>
      <c r="BK48" s="122"/>
      <c r="BL48" s="145"/>
      <c r="BM48" s="145"/>
      <c r="BN48" s="145"/>
      <c r="BO48" s="145"/>
      <c r="BP48" s="145"/>
      <c r="BQ48" s="145"/>
      <c r="BR48" s="145"/>
      <c r="BS48" s="130">
        <v>34</v>
      </c>
      <c r="BT48" s="131">
        <f t="shared" si="42"/>
        <v>0.5</v>
      </c>
      <c r="BU48" s="138">
        <f>SUM(BT$15:BT48)*BU$13</f>
        <v>54400</v>
      </c>
      <c r="BV48" s="131">
        <f t="shared" si="43"/>
        <v>0.3333333333333333</v>
      </c>
      <c r="BW48" s="138">
        <f>SUM(BV$15:BV48)*BW$13</f>
        <v>51000.00000000001</v>
      </c>
      <c r="BX48" s="131"/>
      <c r="BY48" s="131"/>
      <c r="BZ48" s="131">
        <f t="shared" si="44"/>
        <v>0.1</v>
      </c>
      <c r="CA48" s="138">
        <f>SUM(BZ$15:BZ48)*CA$13</f>
        <v>257380.00000000012</v>
      </c>
      <c r="CB48" s="131">
        <f t="shared" si="45"/>
        <v>0.03571428571428571</v>
      </c>
      <c r="CC48" s="138">
        <f>SUM(CB$15:CB48)*CC$13</f>
        <v>133862.85714285713</v>
      </c>
      <c r="CD48" s="131">
        <f t="shared" si="46"/>
        <v>0.025</v>
      </c>
      <c r="CE48" s="138">
        <f>SUM(CD$15:CD48)*CE$13</f>
        <v>111916.66666666674</v>
      </c>
      <c r="CF48" s="131"/>
      <c r="CG48" s="131"/>
      <c r="CH48" s="130">
        <f t="shared" si="47"/>
        <v>34</v>
      </c>
      <c r="CI48" s="130">
        <f t="shared" si="48"/>
        <v>14153048.24241072</v>
      </c>
      <c r="CJ48" s="145"/>
      <c r="CK48" s="145"/>
      <c r="CL48" s="145"/>
      <c r="CM48" s="145"/>
      <c r="CN48" s="145"/>
      <c r="CO48" s="145"/>
      <c r="CP48" s="145"/>
      <c r="CQ48" s="145"/>
      <c r="CR48" s="145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</row>
    <row r="49" spans="1:108" ht="15.75">
      <c r="A49" s="44"/>
      <c r="B49" s="44"/>
      <c r="C49" s="45"/>
      <c r="D49" s="44"/>
      <c r="E49" s="44"/>
      <c r="F49" s="44"/>
      <c r="G49" s="44"/>
      <c r="H49" s="92"/>
      <c r="I49" s="46"/>
      <c r="J49" s="44"/>
      <c r="K49" s="44"/>
      <c r="L49" s="44"/>
      <c r="M49" s="67"/>
      <c r="N49" s="34"/>
      <c r="O49" s="40"/>
      <c r="P49" s="116"/>
      <c r="Q49" s="116"/>
      <c r="R49" s="141"/>
      <c r="S49" s="142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1"/>
      <c r="AE49" s="121"/>
      <c r="AF49" s="121"/>
      <c r="AG49" s="122"/>
      <c r="AH49" s="134">
        <v>36</v>
      </c>
      <c r="AI49" s="130">
        <f t="shared" si="32"/>
        <v>640</v>
      </c>
      <c r="AJ49" s="138">
        <f>SUM(AI$14:AI49)</f>
        <v>23040</v>
      </c>
      <c r="AK49" s="131">
        <f t="shared" si="33"/>
        <v>0.2</v>
      </c>
      <c r="AL49" s="138">
        <f t="shared" si="34"/>
        <v>900</v>
      </c>
      <c r="AM49" s="134"/>
      <c r="AN49" s="134"/>
      <c r="AO49" s="134">
        <f t="shared" si="35"/>
        <v>0.05</v>
      </c>
      <c r="AP49" s="138">
        <f>SUM(AO$14:AO49)*AP$11</f>
        <v>136260.00000000006</v>
      </c>
      <c r="AQ49" s="131">
        <f t="shared" si="36"/>
        <v>0.025</v>
      </c>
      <c r="AR49" s="138">
        <f>SUM(AQ$14:AQ49)*AR$11</f>
        <v>99216.00000000004</v>
      </c>
      <c r="AS49" s="131">
        <f t="shared" si="37"/>
        <v>0.016666666666666666</v>
      </c>
      <c r="AT49" s="138">
        <f>SUM(AS$14:AS49)*AT$11</f>
        <v>151000.00000000006</v>
      </c>
      <c r="AU49" s="134"/>
      <c r="AV49" s="134"/>
      <c r="AW49" s="134">
        <f t="shared" si="38"/>
        <v>36</v>
      </c>
      <c r="AX49" s="138">
        <f t="shared" si="39"/>
        <v>1767854.6896032013</v>
      </c>
      <c r="AY49" s="138">
        <f t="shared" si="40"/>
        <v>14985580.491964288</v>
      </c>
      <c r="AZ49" s="138">
        <f t="shared" si="41"/>
        <v>36</v>
      </c>
      <c r="BA49" s="138">
        <f t="shared" si="31"/>
        <v>2137461.356269868</v>
      </c>
      <c r="BB49" s="138">
        <f t="shared" si="31"/>
        <v>14985580.491964288</v>
      </c>
      <c r="BC49" s="122"/>
      <c r="BD49" s="122"/>
      <c r="BE49" s="122"/>
      <c r="BF49" s="122"/>
      <c r="BG49" s="122"/>
      <c r="BH49" s="122"/>
      <c r="BI49" s="122"/>
      <c r="BJ49" s="122"/>
      <c r="BK49" s="122"/>
      <c r="BL49" s="145"/>
      <c r="BM49" s="145"/>
      <c r="BN49" s="145"/>
      <c r="BO49" s="145"/>
      <c r="BP49" s="145"/>
      <c r="BQ49" s="145"/>
      <c r="BR49" s="145"/>
      <c r="BS49" s="130">
        <v>35</v>
      </c>
      <c r="BT49" s="131">
        <f t="shared" si="42"/>
        <v>0.5</v>
      </c>
      <c r="BU49" s="138">
        <f>SUM(BT$15:BT49)*BU$13</f>
        <v>56000</v>
      </c>
      <c r="BV49" s="131">
        <f t="shared" si="43"/>
        <v>0.3333333333333333</v>
      </c>
      <c r="BW49" s="138">
        <f>SUM(BV$15:BV49)*BW$13</f>
        <v>52500.000000000015</v>
      </c>
      <c r="BX49" s="131"/>
      <c r="BY49" s="131"/>
      <c r="BZ49" s="131">
        <f t="shared" si="44"/>
        <v>0.1</v>
      </c>
      <c r="CA49" s="138">
        <f>SUM(BZ$15:BZ49)*CA$13</f>
        <v>264950.0000000001</v>
      </c>
      <c r="CB49" s="131">
        <f t="shared" si="45"/>
        <v>0.03571428571428571</v>
      </c>
      <c r="CC49" s="138">
        <f>SUM(CB$15:CB49)*CC$13</f>
        <v>137800</v>
      </c>
      <c r="CD49" s="131">
        <f t="shared" si="46"/>
        <v>0.025</v>
      </c>
      <c r="CE49" s="138">
        <f>SUM(CD$15:CD49)*CE$13</f>
        <v>115208.33333333342</v>
      </c>
      <c r="CF49" s="131"/>
      <c r="CG49" s="131"/>
      <c r="CH49" s="130">
        <f t="shared" si="47"/>
        <v>35</v>
      </c>
      <c r="CI49" s="130">
        <f t="shared" si="48"/>
        <v>14569314.367187504</v>
      </c>
      <c r="CJ49" s="145"/>
      <c r="CK49" s="145"/>
      <c r="CL49" s="145"/>
      <c r="CM49" s="145"/>
      <c r="CN49" s="145"/>
      <c r="CO49" s="145"/>
      <c r="CP49" s="145"/>
      <c r="CQ49" s="145"/>
      <c r="CR49" s="145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</row>
    <row r="50" spans="1:108" ht="15.75">
      <c r="A50" s="44"/>
      <c r="B50" s="44"/>
      <c r="C50" s="45"/>
      <c r="D50" s="44"/>
      <c r="E50" s="44"/>
      <c r="F50" s="44"/>
      <c r="G50" s="44"/>
      <c r="H50" s="92"/>
      <c r="I50" s="46"/>
      <c r="J50" s="44"/>
      <c r="K50" s="44"/>
      <c r="L50" s="44"/>
      <c r="M50" s="67"/>
      <c r="N50" s="34"/>
      <c r="O50" s="40"/>
      <c r="P50" s="116"/>
      <c r="Q50" s="116"/>
      <c r="R50" s="141"/>
      <c r="S50" s="142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1"/>
      <c r="AE50" s="121"/>
      <c r="AF50" s="121"/>
      <c r="AG50" s="122"/>
      <c r="AH50" s="134">
        <v>37</v>
      </c>
      <c r="AI50" s="130">
        <f t="shared" si="32"/>
        <v>640</v>
      </c>
      <c r="AJ50" s="138">
        <f>SUM(AI$14:AI50)</f>
        <v>23680</v>
      </c>
      <c r="AK50" s="131">
        <f t="shared" si="33"/>
        <v>0.2</v>
      </c>
      <c r="AL50" s="138">
        <f t="shared" si="34"/>
        <v>900</v>
      </c>
      <c r="AM50" s="134"/>
      <c r="AN50" s="134"/>
      <c r="AO50" s="134">
        <f t="shared" si="35"/>
        <v>0.05</v>
      </c>
      <c r="AP50" s="138">
        <f>SUM(AO$14:AO50)*AP$11</f>
        <v>140045.0000000001</v>
      </c>
      <c r="AQ50" s="131">
        <f t="shared" si="36"/>
        <v>0.025</v>
      </c>
      <c r="AR50" s="138">
        <f>SUM(AQ$14:AQ50)*AR$11</f>
        <v>101972.00000000004</v>
      </c>
      <c r="AS50" s="131">
        <f t="shared" si="37"/>
        <v>0.016666666666666666</v>
      </c>
      <c r="AT50" s="138">
        <f>SUM(AS$14:AS50)*AT$11</f>
        <v>155194.44444444453</v>
      </c>
      <c r="AU50" s="134"/>
      <c r="AV50" s="134"/>
      <c r="AW50" s="134">
        <f t="shared" si="38"/>
        <v>37</v>
      </c>
      <c r="AX50" s="138">
        <f t="shared" si="39"/>
        <v>1816854.077559401</v>
      </c>
      <c r="AY50" s="138">
        <f t="shared" si="40"/>
        <v>15401846.616741076</v>
      </c>
      <c r="AZ50" s="138">
        <f t="shared" si="41"/>
        <v>37</v>
      </c>
      <c r="BA50" s="138">
        <f t="shared" si="31"/>
        <v>2186460.744226068</v>
      </c>
      <c r="BB50" s="138">
        <f t="shared" si="31"/>
        <v>15401846.616741076</v>
      </c>
      <c r="BC50" s="122"/>
      <c r="BD50" s="122"/>
      <c r="BE50" s="122"/>
      <c r="BF50" s="122"/>
      <c r="BG50" s="122"/>
      <c r="BH50" s="122"/>
      <c r="BI50" s="122"/>
      <c r="BJ50" s="122"/>
      <c r="BK50" s="122"/>
      <c r="BL50" s="145"/>
      <c r="BM50" s="145"/>
      <c r="BN50" s="145"/>
      <c r="BO50" s="145"/>
      <c r="BP50" s="145"/>
      <c r="BQ50" s="145"/>
      <c r="BR50" s="145"/>
      <c r="BS50" s="130">
        <v>36</v>
      </c>
      <c r="BT50" s="131">
        <f t="shared" si="42"/>
        <v>0.5</v>
      </c>
      <c r="BU50" s="138">
        <f>SUM(BT$15:BT50)*BU$13</f>
        <v>57600</v>
      </c>
      <c r="BV50" s="131">
        <f t="shared" si="43"/>
        <v>0.3333333333333333</v>
      </c>
      <c r="BW50" s="138">
        <f>SUM(BV$15:BV50)*BW$13</f>
        <v>54000.000000000015</v>
      </c>
      <c r="BX50" s="131"/>
      <c r="BY50" s="131"/>
      <c r="BZ50" s="131">
        <f t="shared" si="44"/>
        <v>0.1</v>
      </c>
      <c r="CA50" s="138">
        <f>SUM(BZ$15:BZ50)*CA$13</f>
        <v>272520.0000000001</v>
      </c>
      <c r="CB50" s="131">
        <f t="shared" si="45"/>
        <v>0.03571428571428571</v>
      </c>
      <c r="CC50" s="138">
        <f>SUM(CB$15:CB50)*CC$13</f>
        <v>141737.14285714287</v>
      </c>
      <c r="CD50" s="131">
        <f t="shared" si="46"/>
        <v>0.025</v>
      </c>
      <c r="CE50" s="138">
        <f>SUM(CD$15:CD50)*CE$13</f>
        <v>118500.00000000007</v>
      </c>
      <c r="CF50" s="131"/>
      <c r="CG50" s="131"/>
      <c r="CH50" s="130">
        <f t="shared" si="47"/>
        <v>36</v>
      </c>
      <c r="CI50" s="130">
        <f t="shared" si="48"/>
        <v>14985580.491964288</v>
      </c>
      <c r="CJ50" s="145"/>
      <c r="CK50" s="145"/>
      <c r="CL50" s="145"/>
      <c r="CM50" s="145"/>
      <c r="CN50" s="145"/>
      <c r="CO50" s="145"/>
      <c r="CP50" s="145"/>
      <c r="CQ50" s="145"/>
      <c r="CR50" s="145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</row>
    <row r="51" spans="1:108" ht="15.75">
      <c r="A51" s="44"/>
      <c r="B51" s="44"/>
      <c r="C51" s="45"/>
      <c r="D51" s="44"/>
      <c r="E51" s="44"/>
      <c r="F51" s="44"/>
      <c r="G51" s="44"/>
      <c r="H51" s="92"/>
      <c r="I51" s="46"/>
      <c r="J51" s="44"/>
      <c r="K51" s="44"/>
      <c r="L51" s="44"/>
      <c r="M51" s="67"/>
      <c r="N51" s="34"/>
      <c r="O51" s="40"/>
      <c r="P51" s="116"/>
      <c r="Q51" s="116"/>
      <c r="R51" s="141"/>
      <c r="S51" s="142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1"/>
      <c r="AE51" s="121"/>
      <c r="AF51" s="121"/>
      <c r="AG51" s="122"/>
      <c r="AH51" s="134">
        <v>38</v>
      </c>
      <c r="AI51" s="130">
        <f t="shared" si="32"/>
        <v>640</v>
      </c>
      <c r="AJ51" s="138">
        <f>SUM(AI$14:AI51)</f>
        <v>24320</v>
      </c>
      <c r="AK51" s="131">
        <f t="shared" si="33"/>
        <v>0.2</v>
      </c>
      <c r="AL51" s="138">
        <f t="shared" si="34"/>
        <v>900</v>
      </c>
      <c r="AM51" s="134"/>
      <c r="AN51" s="134"/>
      <c r="AO51" s="134">
        <f t="shared" si="35"/>
        <v>0.05</v>
      </c>
      <c r="AP51" s="138">
        <f>SUM(AO$14:AO51)*AP$11</f>
        <v>143830.0000000001</v>
      </c>
      <c r="AQ51" s="131">
        <f t="shared" si="36"/>
        <v>0.025</v>
      </c>
      <c r="AR51" s="138">
        <f>SUM(AQ$14:AQ51)*AR$11</f>
        <v>104728.00000000004</v>
      </c>
      <c r="AS51" s="131">
        <f t="shared" si="37"/>
        <v>0.016666666666666666</v>
      </c>
      <c r="AT51" s="138">
        <f>SUM(AS$14:AS51)*AT$11</f>
        <v>159388.88888888896</v>
      </c>
      <c r="AU51" s="134"/>
      <c r="AV51" s="134"/>
      <c r="AW51" s="134">
        <f t="shared" si="38"/>
        <v>38</v>
      </c>
      <c r="AX51" s="138">
        <f t="shared" si="39"/>
        <v>1865853.4655156014</v>
      </c>
      <c r="AY51" s="138">
        <f t="shared" si="40"/>
        <v>15818112.741517864</v>
      </c>
      <c r="AZ51" s="138">
        <f t="shared" si="41"/>
        <v>38</v>
      </c>
      <c r="BA51" s="138">
        <f t="shared" si="31"/>
        <v>2235460.132182268</v>
      </c>
      <c r="BB51" s="138">
        <f t="shared" si="31"/>
        <v>15818112.741517864</v>
      </c>
      <c r="BC51" s="122"/>
      <c r="BD51" s="122"/>
      <c r="BE51" s="122"/>
      <c r="BF51" s="122"/>
      <c r="BG51" s="122"/>
      <c r="BH51" s="122"/>
      <c r="BI51" s="122"/>
      <c r="BJ51" s="122"/>
      <c r="BK51" s="122"/>
      <c r="BL51" s="145"/>
      <c r="BM51" s="145"/>
      <c r="BN51" s="145"/>
      <c r="BO51" s="145"/>
      <c r="BP51" s="145"/>
      <c r="BQ51" s="145"/>
      <c r="BR51" s="145"/>
      <c r="BS51" s="130">
        <v>37</v>
      </c>
      <c r="BT51" s="131">
        <f t="shared" si="42"/>
        <v>0.5</v>
      </c>
      <c r="BU51" s="138">
        <f>SUM(BT$15:BT51)*BU$13</f>
        <v>59200</v>
      </c>
      <c r="BV51" s="131">
        <f t="shared" si="43"/>
        <v>0.3333333333333333</v>
      </c>
      <c r="BW51" s="138">
        <f>SUM(BV$15:BV51)*BW$13</f>
        <v>55500.00000000002</v>
      </c>
      <c r="BX51" s="131"/>
      <c r="BY51" s="131"/>
      <c r="BZ51" s="131">
        <f t="shared" si="44"/>
        <v>0.1</v>
      </c>
      <c r="CA51" s="138">
        <f>SUM(BZ$15:BZ51)*CA$13</f>
        <v>280090.0000000002</v>
      </c>
      <c r="CB51" s="131">
        <f t="shared" si="45"/>
        <v>0.03571428571428571</v>
      </c>
      <c r="CC51" s="138">
        <f>SUM(CB$15:CB51)*CC$13</f>
        <v>145674.28571428574</v>
      </c>
      <c r="CD51" s="131">
        <f t="shared" si="46"/>
        <v>0.025</v>
      </c>
      <c r="CE51" s="138">
        <f>SUM(CD$15:CD51)*CE$13</f>
        <v>121791.66666666674</v>
      </c>
      <c r="CF51" s="131"/>
      <c r="CG51" s="131"/>
      <c r="CH51" s="130">
        <f t="shared" si="47"/>
        <v>37</v>
      </c>
      <c r="CI51" s="130">
        <f t="shared" si="48"/>
        <v>15401846.616741076</v>
      </c>
      <c r="CJ51" s="145"/>
      <c r="CK51" s="145"/>
      <c r="CL51" s="145"/>
      <c r="CM51" s="145"/>
      <c r="CN51" s="145"/>
      <c r="CO51" s="145"/>
      <c r="CP51" s="145"/>
      <c r="CQ51" s="145"/>
      <c r="CR51" s="145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</row>
    <row r="52" spans="1:108" ht="15.75">
      <c r="A52" s="44"/>
      <c r="B52" s="44"/>
      <c r="C52" s="45"/>
      <c r="D52" s="44"/>
      <c r="E52" s="44"/>
      <c r="F52" s="44"/>
      <c r="G52" s="44"/>
      <c r="H52" s="44"/>
      <c r="I52" s="46"/>
      <c r="J52" s="44"/>
      <c r="K52" s="44"/>
      <c r="L52" s="44"/>
      <c r="M52" s="67"/>
      <c r="N52" s="34"/>
      <c r="O52" s="40"/>
      <c r="P52" s="116"/>
      <c r="Q52" s="116"/>
      <c r="R52" s="141"/>
      <c r="S52" s="142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1"/>
      <c r="AE52" s="121"/>
      <c r="AF52" s="121"/>
      <c r="AG52" s="122"/>
      <c r="AH52" s="134">
        <v>39</v>
      </c>
      <c r="AI52" s="130">
        <f t="shared" si="32"/>
        <v>640</v>
      </c>
      <c r="AJ52" s="138">
        <f>SUM(AI$14:AI52)</f>
        <v>24960</v>
      </c>
      <c r="AK52" s="131">
        <f t="shared" si="33"/>
        <v>0.2</v>
      </c>
      <c r="AL52" s="138">
        <f t="shared" si="34"/>
        <v>900</v>
      </c>
      <c r="AM52" s="134"/>
      <c r="AN52" s="134"/>
      <c r="AO52" s="134">
        <f t="shared" si="35"/>
        <v>0.05</v>
      </c>
      <c r="AP52" s="138">
        <f>SUM(AO$14:AO52)*AP$11</f>
        <v>147615.0000000001</v>
      </c>
      <c r="AQ52" s="131">
        <f t="shared" si="36"/>
        <v>0.025</v>
      </c>
      <c r="AR52" s="138">
        <f>SUM(AQ$14:AQ52)*AR$11</f>
        <v>107484.00000000004</v>
      </c>
      <c r="AS52" s="131">
        <f t="shared" si="37"/>
        <v>0.016666666666666666</v>
      </c>
      <c r="AT52" s="138">
        <f>SUM(AS$14:AS52)*AT$11</f>
        <v>163583.33333333343</v>
      </c>
      <c r="AU52" s="134"/>
      <c r="AV52" s="134"/>
      <c r="AW52" s="134">
        <f t="shared" si="38"/>
        <v>39</v>
      </c>
      <c r="AX52" s="138">
        <f t="shared" si="39"/>
        <v>1914852.8534718012</v>
      </c>
      <c r="AY52" s="138">
        <f t="shared" si="40"/>
        <v>16234378.866294652</v>
      </c>
      <c r="AZ52" s="138">
        <f t="shared" si="41"/>
        <v>39</v>
      </c>
      <c r="BA52" s="138">
        <f t="shared" si="31"/>
        <v>2284459.5201384677</v>
      </c>
      <c r="BB52" s="138">
        <f t="shared" si="31"/>
        <v>16234378.866294652</v>
      </c>
      <c r="BC52" s="122"/>
      <c r="BD52" s="122"/>
      <c r="BE52" s="122"/>
      <c r="BF52" s="122"/>
      <c r="BG52" s="122"/>
      <c r="BH52" s="122"/>
      <c r="BI52" s="122"/>
      <c r="BJ52" s="122"/>
      <c r="BK52" s="122"/>
      <c r="BL52" s="145"/>
      <c r="BM52" s="145"/>
      <c r="BN52" s="145"/>
      <c r="BO52" s="145"/>
      <c r="BP52" s="145"/>
      <c r="BQ52" s="145"/>
      <c r="BR52" s="145"/>
      <c r="BS52" s="130">
        <v>38</v>
      </c>
      <c r="BT52" s="131">
        <f t="shared" si="42"/>
        <v>0.5</v>
      </c>
      <c r="BU52" s="138">
        <f>SUM(BT$15:BT52)*BU$13</f>
        <v>60800</v>
      </c>
      <c r="BV52" s="131">
        <f t="shared" si="43"/>
        <v>0.3333333333333333</v>
      </c>
      <c r="BW52" s="138">
        <f>SUM(BV$15:BV52)*BW$13</f>
        <v>57000.00000000002</v>
      </c>
      <c r="BX52" s="131"/>
      <c r="BY52" s="131"/>
      <c r="BZ52" s="131">
        <f t="shared" si="44"/>
        <v>0.1</v>
      </c>
      <c r="CA52" s="138">
        <f>SUM(BZ$15:BZ52)*CA$13</f>
        <v>287660.0000000002</v>
      </c>
      <c r="CB52" s="131">
        <f t="shared" si="45"/>
        <v>0.03571428571428571</v>
      </c>
      <c r="CC52" s="138">
        <f>SUM(CB$15:CB52)*CC$13</f>
        <v>149611.4285714286</v>
      </c>
      <c r="CD52" s="131">
        <f t="shared" si="46"/>
        <v>0.025</v>
      </c>
      <c r="CE52" s="138">
        <f>SUM(CD$15:CD52)*CE$13</f>
        <v>125083.33333333342</v>
      </c>
      <c r="CF52" s="131"/>
      <c r="CG52" s="131"/>
      <c r="CH52" s="130">
        <f t="shared" si="47"/>
        <v>38</v>
      </c>
      <c r="CI52" s="130">
        <f t="shared" si="48"/>
        <v>15818112.741517864</v>
      </c>
      <c r="CJ52" s="145"/>
      <c r="CK52" s="145"/>
      <c r="CL52" s="145"/>
      <c r="CM52" s="145"/>
      <c r="CN52" s="145"/>
      <c r="CO52" s="145"/>
      <c r="CP52" s="145"/>
      <c r="CQ52" s="145"/>
      <c r="CR52" s="145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</row>
    <row r="53" spans="1:108" ht="15.75">
      <c r="A53" s="44"/>
      <c r="B53" s="44"/>
      <c r="C53" s="45"/>
      <c r="D53" s="44"/>
      <c r="E53" s="44"/>
      <c r="F53" s="44"/>
      <c r="G53" s="44"/>
      <c r="H53" s="44"/>
      <c r="I53" s="46"/>
      <c r="J53" s="44"/>
      <c r="K53" s="44"/>
      <c r="L53" s="44"/>
      <c r="M53" s="67"/>
      <c r="N53" s="34"/>
      <c r="O53" s="40"/>
      <c r="P53" s="116"/>
      <c r="Q53" s="116"/>
      <c r="R53" s="141"/>
      <c r="S53" s="142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1"/>
      <c r="AE53" s="121"/>
      <c r="AF53" s="121"/>
      <c r="AG53" s="122"/>
      <c r="AH53" s="134">
        <v>40</v>
      </c>
      <c r="AI53" s="130">
        <f t="shared" si="32"/>
        <v>640</v>
      </c>
      <c r="AJ53" s="138">
        <f>SUM(AI$14:AI53)</f>
        <v>25600</v>
      </c>
      <c r="AK53" s="131">
        <f t="shared" si="33"/>
        <v>0.2</v>
      </c>
      <c r="AL53" s="138">
        <f t="shared" si="34"/>
        <v>900</v>
      </c>
      <c r="AM53" s="134"/>
      <c r="AN53" s="134"/>
      <c r="AO53" s="134">
        <f t="shared" si="35"/>
        <v>0.05</v>
      </c>
      <c r="AP53" s="138">
        <f>SUM(AO$14:AO53)*AP$11</f>
        <v>151400.00000000006</v>
      </c>
      <c r="AQ53" s="131">
        <f t="shared" si="36"/>
        <v>0.025</v>
      </c>
      <c r="AR53" s="138">
        <f>SUM(AQ$14:AQ53)*AR$11</f>
        <v>110240.00000000003</v>
      </c>
      <c r="AS53" s="131">
        <f t="shared" si="37"/>
        <v>0.016666666666666666</v>
      </c>
      <c r="AT53" s="138">
        <f>SUM(AS$14:AS53)*AT$11</f>
        <v>167777.7777777779</v>
      </c>
      <c r="AU53" s="134"/>
      <c r="AV53" s="134"/>
      <c r="AW53" s="134">
        <f t="shared" si="38"/>
        <v>40</v>
      </c>
      <c r="AX53" s="138">
        <f t="shared" si="39"/>
        <v>1963852.2414280013</v>
      </c>
      <c r="AY53" s="138">
        <f t="shared" si="40"/>
        <v>16650644.991071431</v>
      </c>
      <c r="AZ53" s="138">
        <f t="shared" si="41"/>
        <v>40</v>
      </c>
      <c r="BA53" s="138">
        <f t="shared" si="31"/>
        <v>2333458.908094668</v>
      </c>
      <c r="BB53" s="138">
        <f t="shared" si="31"/>
        <v>16650644.991071431</v>
      </c>
      <c r="BC53" s="122"/>
      <c r="BD53" s="122"/>
      <c r="BE53" s="122"/>
      <c r="BF53" s="122"/>
      <c r="BG53" s="122"/>
      <c r="BH53" s="122"/>
      <c r="BI53" s="122"/>
      <c r="BJ53" s="122"/>
      <c r="BK53" s="122"/>
      <c r="BL53" s="145"/>
      <c r="BM53" s="145"/>
      <c r="BN53" s="145"/>
      <c r="BO53" s="145"/>
      <c r="BP53" s="145"/>
      <c r="BQ53" s="145"/>
      <c r="BR53" s="145"/>
      <c r="BS53" s="130">
        <v>39</v>
      </c>
      <c r="BT53" s="131">
        <f t="shared" si="42"/>
        <v>0.5</v>
      </c>
      <c r="BU53" s="138">
        <f>SUM(BT$15:BT53)*BU$13</f>
        <v>62400</v>
      </c>
      <c r="BV53" s="131">
        <f t="shared" si="43"/>
        <v>0.3333333333333333</v>
      </c>
      <c r="BW53" s="138">
        <f>SUM(BV$15:BV53)*BW$13</f>
        <v>58500.00000000002</v>
      </c>
      <c r="BX53" s="131"/>
      <c r="BY53" s="131"/>
      <c r="BZ53" s="131">
        <f t="shared" si="44"/>
        <v>0.1</v>
      </c>
      <c r="CA53" s="138">
        <f>SUM(BZ$15:BZ53)*CA$13</f>
        <v>295230.0000000002</v>
      </c>
      <c r="CB53" s="131">
        <f t="shared" si="45"/>
        <v>0.03571428571428571</v>
      </c>
      <c r="CC53" s="138">
        <f>SUM(CB$15:CB53)*CC$13</f>
        <v>153548.57142857148</v>
      </c>
      <c r="CD53" s="131">
        <f t="shared" si="46"/>
        <v>0.025</v>
      </c>
      <c r="CE53" s="138">
        <f>SUM(CD$15:CD53)*CE$13</f>
        <v>128375.00000000009</v>
      </c>
      <c r="CF53" s="131"/>
      <c r="CG53" s="131"/>
      <c r="CH53" s="130">
        <f t="shared" si="47"/>
        <v>39</v>
      </c>
      <c r="CI53" s="130">
        <f t="shared" si="48"/>
        <v>16234378.866294652</v>
      </c>
      <c r="CJ53" s="145"/>
      <c r="CK53" s="145"/>
      <c r="CL53" s="145"/>
      <c r="CM53" s="145"/>
      <c r="CN53" s="145"/>
      <c r="CO53" s="145"/>
      <c r="CP53" s="145"/>
      <c r="CQ53" s="145"/>
      <c r="CR53" s="145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</row>
    <row r="54" spans="1:108" ht="15.75">
      <c r="A54" s="44"/>
      <c r="B54" s="44"/>
      <c r="C54" s="45"/>
      <c r="D54" s="44"/>
      <c r="E54" s="44"/>
      <c r="F54" s="44"/>
      <c r="G54" s="44"/>
      <c r="H54" s="44"/>
      <c r="I54" s="46"/>
      <c r="J54" s="44"/>
      <c r="K54" s="44"/>
      <c r="L54" s="44"/>
      <c r="M54" s="67"/>
      <c r="N54" s="34"/>
      <c r="O54" s="40"/>
      <c r="P54" s="116"/>
      <c r="Q54" s="116"/>
      <c r="R54" s="141"/>
      <c r="S54" s="142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1"/>
      <c r="AE54" s="121"/>
      <c r="AF54" s="121"/>
      <c r="AG54" s="122"/>
      <c r="AH54" s="134">
        <v>41</v>
      </c>
      <c r="AI54" s="130">
        <f t="shared" si="32"/>
        <v>640</v>
      </c>
      <c r="AJ54" s="138">
        <f>SUM(AI$14:AI54)</f>
        <v>26240</v>
      </c>
      <c r="AK54" s="131">
        <f t="shared" si="33"/>
        <v>0.2</v>
      </c>
      <c r="AL54" s="138">
        <f t="shared" si="34"/>
        <v>900</v>
      </c>
      <c r="AM54" s="134"/>
      <c r="AN54" s="134"/>
      <c r="AO54" s="134">
        <f t="shared" si="35"/>
        <v>0.05</v>
      </c>
      <c r="AP54" s="138">
        <f>SUM(AO$14:AO54)*AP$11</f>
        <v>155185.00000000006</v>
      </c>
      <c r="AQ54" s="131">
        <f t="shared" si="36"/>
        <v>0.025</v>
      </c>
      <c r="AR54" s="138">
        <f>SUM(AQ$14:AQ54)*AR$11</f>
        <v>112996.00000000003</v>
      </c>
      <c r="AS54" s="131">
        <f t="shared" si="37"/>
        <v>0.016666666666666666</v>
      </c>
      <c r="AT54" s="138">
        <f>SUM(AS$14:AS54)*AT$11</f>
        <v>171972.22222222236</v>
      </c>
      <c r="AU54" s="134"/>
      <c r="AV54" s="134"/>
      <c r="AW54" s="134">
        <f t="shared" si="38"/>
        <v>41</v>
      </c>
      <c r="AX54" s="138">
        <f t="shared" si="39"/>
        <v>2012851.6293842013</v>
      </c>
      <c r="AY54" s="138">
        <f t="shared" si="40"/>
        <v>17066911.11584822</v>
      </c>
      <c r="AZ54" s="138">
        <f t="shared" si="41"/>
        <v>41</v>
      </c>
      <c r="BA54" s="138">
        <f aca="true" t="shared" si="49" ref="BA54:BB73">BA$13+AX54</f>
        <v>2382458.296050868</v>
      </c>
      <c r="BB54" s="138">
        <f t="shared" si="49"/>
        <v>17066911.11584822</v>
      </c>
      <c r="BC54" s="122"/>
      <c r="BD54" s="122"/>
      <c r="BE54" s="122"/>
      <c r="BF54" s="122"/>
      <c r="BG54" s="122"/>
      <c r="BH54" s="122"/>
      <c r="BI54" s="122"/>
      <c r="BJ54" s="122"/>
      <c r="BK54" s="122"/>
      <c r="BL54" s="145"/>
      <c r="BM54" s="145"/>
      <c r="BN54" s="145"/>
      <c r="BO54" s="145"/>
      <c r="BP54" s="145"/>
      <c r="BQ54" s="145"/>
      <c r="BR54" s="145"/>
      <c r="BS54" s="130">
        <v>40</v>
      </c>
      <c r="BT54" s="131">
        <f t="shared" si="42"/>
        <v>0.5</v>
      </c>
      <c r="BU54" s="138">
        <f>SUM(BT$15:BT54)*BU$13</f>
        <v>64000</v>
      </c>
      <c r="BV54" s="131">
        <f t="shared" si="43"/>
        <v>0.3333333333333333</v>
      </c>
      <c r="BW54" s="138">
        <f>SUM(BV$15:BV54)*BW$13</f>
        <v>60000.00000000003</v>
      </c>
      <c r="BX54" s="131"/>
      <c r="BY54" s="131"/>
      <c r="BZ54" s="131">
        <f t="shared" si="44"/>
        <v>0.1</v>
      </c>
      <c r="CA54" s="138">
        <f>SUM(BZ$15:BZ54)*CA$13</f>
        <v>302800.0000000001</v>
      </c>
      <c r="CB54" s="131">
        <f t="shared" si="45"/>
        <v>0.03571428571428571</v>
      </c>
      <c r="CC54" s="138">
        <f>SUM(CB$15:CB54)*CC$13</f>
        <v>157485.71428571435</v>
      </c>
      <c r="CD54" s="131">
        <f t="shared" si="46"/>
        <v>0.025</v>
      </c>
      <c r="CE54" s="138">
        <f>SUM(CD$15:CD54)*CE$13</f>
        <v>131666.66666666674</v>
      </c>
      <c r="CF54" s="131"/>
      <c r="CG54" s="131"/>
      <c r="CH54" s="130">
        <f t="shared" si="47"/>
        <v>40</v>
      </c>
      <c r="CI54" s="130">
        <f t="shared" si="48"/>
        <v>16650644.991071431</v>
      </c>
      <c r="CJ54" s="145"/>
      <c r="CK54" s="145"/>
      <c r="CL54" s="145"/>
      <c r="CM54" s="145"/>
      <c r="CN54" s="145"/>
      <c r="CO54" s="145"/>
      <c r="CP54" s="145"/>
      <c r="CQ54" s="145"/>
      <c r="CR54" s="145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</row>
    <row r="55" spans="1:108" ht="15.75">
      <c r="A55" s="44"/>
      <c r="B55" s="44"/>
      <c r="C55" s="45"/>
      <c r="D55" s="44"/>
      <c r="E55" s="44"/>
      <c r="F55" s="44"/>
      <c r="G55" s="44"/>
      <c r="H55" s="44"/>
      <c r="I55" s="46"/>
      <c r="J55" s="44"/>
      <c r="K55" s="44"/>
      <c r="L55" s="44"/>
      <c r="M55" s="67"/>
      <c r="N55" s="34"/>
      <c r="O55" s="40"/>
      <c r="P55" s="116"/>
      <c r="Q55" s="116"/>
      <c r="R55" s="141"/>
      <c r="S55" s="142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1"/>
      <c r="AE55" s="121"/>
      <c r="AF55" s="121"/>
      <c r="AG55" s="122"/>
      <c r="AH55" s="134">
        <v>42</v>
      </c>
      <c r="AI55" s="130">
        <f t="shared" si="32"/>
        <v>640</v>
      </c>
      <c r="AJ55" s="138">
        <f>SUM(AI$14:AI55)</f>
        <v>26880</v>
      </c>
      <c r="AK55" s="131">
        <f t="shared" si="33"/>
        <v>0.2</v>
      </c>
      <c r="AL55" s="138">
        <f t="shared" si="34"/>
        <v>900</v>
      </c>
      <c r="AM55" s="134"/>
      <c r="AN55" s="134"/>
      <c r="AO55" s="134">
        <f t="shared" si="35"/>
        <v>0.05</v>
      </c>
      <c r="AP55" s="138">
        <f>SUM(AO$14:AO55)*AP$11</f>
        <v>158970.00000000003</v>
      </c>
      <c r="AQ55" s="131">
        <f t="shared" si="36"/>
        <v>0.025</v>
      </c>
      <c r="AR55" s="138">
        <f>SUM(AQ$14:AQ55)*AR$11</f>
        <v>115752.00000000001</v>
      </c>
      <c r="AS55" s="131">
        <f t="shared" si="37"/>
        <v>0.016666666666666666</v>
      </c>
      <c r="AT55" s="138">
        <f>SUM(AS$14:AS55)*AT$11</f>
        <v>176166.6666666668</v>
      </c>
      <c r="AU55" s="134"/>
      <c r="AV55" s="134"/>
      <c r="AW55" s="134">
        <f t="shared" si="38"/>
        <v>42</v>
      </c>
      <c r="AX55" s="138">
        <f t="shared" si="39"/>
        <v>2061851.0173404012</v>
      </c>
      <c r="AY55" s="138">
        <f t="shared" si="40"/>
        <v>17483177.240625005</v>
      </c>
      <c r="AZ55" s="138">
        <f t="shared" si="41"/>
        <v>42</v>
      </c>
      <c r="BA55" s="138">
        <f t="shared" si="49"/>
        <v>2431457.6840070677</v>
      </c>
      <c r="BB55" s="138">
        <f t="shared" si="49"/>
        <v>17483177.240625005</v>
      </c>
      <c r="BC55" s="122"/>
      <c r="BD55" s="122"/>
      <c r="BE55" s="122"/>
      <c r="BF55" s="122"/>
      <c r="BG55" s="122"/>
      <c r="BH55" s="122"/>
      <c r="BI55" s="122"/>
      <c r="BJ55" s="122"/>
      <c r="BK55" s="122"/>
      <c r="BL55" s="145"/>
      <c r="BM55" s="145"/>
      <c r="BN55" s="145"/>
      <c r="BO55" s="145"/>
      <c r="BP55" s="145"/>
      <c r="BQ55" s="145"/>
      <c r="BR55" s="145"/>
      <c r="BS55" s="130">
        <v>41</v>
      </c>
      <c r="BT55" s="131">
        <f t="shared" si="42"/>
        <v>0.5</v>
      </c>
      <c r="BU55" s="138">
        <f>SUM(BT$15:BT55)*BU$13</f>
        <v>65600</v>
      </c>
      <c r="BV55" s="131">
        <f t="shared" si="43"/>
        <v>0.3333333333333333</v>
      </c>
      <c r="BW55" s="138">
        <f>SUM(BV$15:BV55)*BW$13</f>
        <v>61500.00000000003</v>
      </c>
      <c r="BX55" s="131"/>
      <c r="BY55" s="131"/>
      <c r="BZ55" s="131">
        <f t="shared" si="44"/>
        <v>0.1</v>
      </c>
      <c r="CA55" s="138">
        <f>SUM(BZ$15:BZ55)*CA$13</f>
        <v>310370.0000000001</v>
      </c>
      <c r="CB55" s="131">
        <f t="shared" si="45"/>
        <v>0.03571428571428571</v>
      </c>
      <c r="CC55" s="138">
        <f>SUM(CB$15:CB55)*CC$13</f>
        <v>161422.85714285722</v>
      </c>
      <c r="CD55" s="131">
        <f t="shared" si="46"/>
        <v>0.025</v>
      </c>
      <c r="CE55" s="138">
        <f>SUM(CD$15:CD55)*CE$13</f>
        <v>134958.3333333334</v>
      </c>
      <c r="CF55" s="131"/>
      <c r="CG55" s="131"/>
      <c r="CH55" s="130">
        <f t="shared" si="47"/>
        <v>41</v>
      </c>
      <c r="CI55" s="130">
        <f t="shared" si="48"/>
        <v>17066911.11584822</v>
      </c>
      <c r="CJ55" s="145"/>
      <c r="CK55" s="145"/>
      <c r="CL55" s="145"/>
      <c r="CM55" s="145"/>
      <c r="CN55" s="145"/>
      <c r="CO55" s="145"/>
      <c r="CP55" s="145"/>
      <c r="CQ55" s="145"/>
      <c r="CR55" s="145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</row>
    <row r="56" spans="1:108" ht="15.75">
      <c r="A56" s="44"/>
      <c r="B56" s="44"/>
      <c r="C56" s="45"/>
      <c r="D56" s="44"/>
      <c r="E56" s="44"/>
      <c r="F56" s="44"/>
      <c r="G56" s="44"/>
      <c r="H56" s="44"/>
      <c r="I56" s="46"/>
      <c r="J56" s="44"/>
      <c r="K56" s="44"/>
      <c r="L56" s="44"/>
      <c r="M56" s="67"/>
      <c r="N56" s="34"/>
      <c r="O56" s="40"/>
      <c r="P56" s="116"/>
      <c r="Q56" s="116"/>
      <c r="R56" s="141"/>
      <c r="S56" s="142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1"/>
      <c r="AE56" s="121"/>
      <c r="AF56" s="121"/>
      <c r="AG56" s="122"/>
      <c r="AH56" s="134">
        <v>43</v>
      </c>
      <c r="AI56" s="130">
        <f t="shared" si="32"/>
        <v>640</v>
      </c>
      <c r="AJ56" s="138">
        <f>SUM(AI$14:AI56)</f>
        <v>27520</v>
      </c>
      <c r="AK56" s="131">
        <f t="shared" si="33"/>
        <v>0.2</v>
      </c>
      <c r="AL56" s="138">
        <f t="shared" si="34"/>
        <v>900</v>
      </c>
      <c r="AM56" s="134"/>
      <c r="AN56" s="134"/>
      <c r="AO56" s="134">
        <f t="shared" si="35"/>
        <v>0.05</v>
      </c>
      <c r="AP56" s="138">
        <f>SUM(AO$14:AO56)*AP$11</f>
        <v>162755.00000000003</v>
      </c>
      <c r="AQ56" s="131">
        <f t="shared" si="36"/>
        <v>0.025</v>
      </c>
      <c r="AR56" s="138">
        <f>SUM(AQ$14:AQ56)*AR$11</f>
        <v>118508</v>
      </c>
      <c r="AS56" s="131">
        <f t="shared" si="37"/>
        <v>0.016666666666666666</v>
      </c>
      <c r="AT56" s="138">
        <f>SUM(AS$14:AS56)*AT$11</f>
        <v>180361.11111111127</v>
      </c>
      <c r="AU56" s="134"/>
      <c r="AV56" s="134"/>
      <c r="AW56" s="134">
        <f t="shared" si="38"/>
        <v>43</v>
      </c>
      <c r="AX56" s="138">
        <f t="shared" si="39"/>
        <v>2110850.405296601</v>
      </c>
      <c r="AY56" s="138">
        <f t="shared" si="40"/>
        <v>17899443.36540179</v>
      </c>
      <c r="AZ56" s="138">
        <f t="shared" si="41"/>
        <v>43</v>
      </c>
      <c r="BA56" s="138">
        <f t="shared" si="49"/>
        <v>2480457.0719632674</v>
      </c>
      <c r="BB56" s="138">
        <f t="shared" si="49"/>
        <v>17899443.36540179</v>
      </c>
      <c r="BC56" s="122"/>
      <c r="BD56" s="122"/>
      <c r="BE56" s="122"/>
      <c r="BF56" s="122"/>
      <c r="BG56" s="122"/>
      <c r="BH56" s="122"/>
      <c r="BI56" s="122"/>
      <c r="BJ56" s="122"/>
      <c r="BK56" s="122"/>
      <c r="BL56" s="145"/>
      <c r="BM56" s="145"/>
      <c r="BN56" s="145"/>
      <c r="BO56" s="145"/>
      <c r="BP56" s="145"/>
      <c r="BQ56" s="145"/>
      <c r="BR56" s="145"/>
      <c r="BS56" s="130">
        <v>42</v>
      </c>
      <c r="BT56" s="131">
        <f t="shared" si="42"/>
        <v>0.5</v>
      </c>
      <c r="BU56" s="138">
        <f>SUM(BT$15:BT56)*BU$13</f>
        <v>67200</v>
      </c>
      <c r="BV56" s="131">
        <f t="shared" si="43"/>
        <v>0.3333333333333333</v>
      </c>
      <c r="BW56" s="138">
        <f>SUM(BV$15:BV56)*BW$13</f>
        <v>63000.00000000003</v>
      </c>
      <c r="BX56" s="131"/>
      <c r="BY56" s="131"/>
      <c r="BZ56" s="131">
        <f t="shared" si="44"/>
        <v>0.1</v>
      </c>
      <c r="CA56" s="138">
        <f>SUM(BZ$15:BZ56)*CA$13</f>
        <v>317940.00000000006</v>
      </c>
      <c r="CB56" s="131">
        <f t="shared" si="45"/>
        <v>0.03571428571428571</v>
      </c>
      <c r="CC56" s="138">
        <f>SUM(CB$15:CB56)*CC$13</f>
        <v>165360.0000000001</v>
      </c>
      <c r="CD56" s="131">
        <f t="shared" si="46"/>
        <v>0.025</v>
      </c>
      <c r="CE56" s="138">
        <f>SUM(CD$15:CD56)*CE$13</f>
        <v>138250.00000000006</v>
      </c>
      <c r="CF56" s="131"/>
      <c r="CG56" s="131"/>
      <c r="CH56" s="130">
        <f t="shared" si="47"/>
        <v>42</v>
      </c>
      <c r="CI56" s="130">
        <f t="shared" si="48"/>
        <v>17483177.240625005</v>
      </c>
      <c r="CJ56" s="145"/>
      <c r="CK56" s="145"/>
      <c r="CL56" s="145"/>
      <c r="CM56" s="145"/>
      <c r="CN56" s="145"/>
      <c r="CO56" s="145"/>
      <c r="CP56" s="145"/>
      <c r="CQ56" s="145"/>
      <c r="CR56" s="145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</row>
    <row r="57" spans="1:108" ht="15.75">
      <c r="A57" s="44"/>
      <c r="B57" s="44"/>
      <c r="C57" s="67"/>
      <c r="D57" s="44"/>
      <c r="E57" s="44"/>
      <c r="F57" s="44"/>
      <c r="G57" s="44"/>
      <c r="H57" s="44"/>
      <c r="I57" s="46"/>
      <c r="J57" s="44"/>
      <c r="K57" s="44"/>
      <c r="L57" s="44"/>
      <c r="M57" s="67"/>
      <c r="N57" s="34"/>
      <c r="O57" s="40"/>
      <c r="P57" s="116"/>
      <c r="Q57" s="116"/>
      <c r="R57" s="141"/>
      <c r="S57" s="142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1"/>
      <c r="AE57" s="121"/>
      <c r="AF57" s="121"/>
      <c r="AG57" s="122"/>
      <c r="AH57" s="134">
        <v>44</v>
      </c>
      <c r="AI57" s="130">
        <f t="shared" si="32"/>
        <v>640</v>
      </c>
      <c r="AJ57" s="138">
        <f>SUM(AI$14:AI57)</f>
        <v>28160</v>
      </c>
      <c r="AK57" s="131">
        <f t="shared" si="33"/>
        <v>0.2</v>
      </c>
      <c r="AL57" s="138">
        <f t="shared" si="34"/>
        <v>900</v>
      </c>
      <c r="AM57" s="134"/>
      <c r="AN57" s="134"/>
      <c r="AO57" s="134">
        <f t="shared" si="35"/>
        <v>0.05</v>
      </c>
      <c r="AP57" s="138">
        <f>SUM(AO$14:AO57)*AP$11</f>
        <v>166540</v>
      </c>
      <c r="AQ57" s="131">
        <f t="shared" si="36"/>
        <v>0.025</v>
      </c>
      <c r="AR57" s="138">
        <f>SUM(AQ$14:AQ57)*AR$11</f>
        <v>121264</v>
      </c>
      <c r="AS57" s="131">
        <f t="shared" si="37"/>
        <v>0.016666666666666666</v>
      </c>
      <c r="AT57" s="138">
        <f>SUM(AS$14:AS57)*AT$11</f>
        <v>184555.55555555574</v>
      </c>
      <c r="AU57" s="134"/>
      <c r="AV57" s="134"/>
      <c r="AW57" s="134">
        <f t="shared" si="38"/>
        <v>44</v>
      </c>
      <c r="AX57" s="138">
        <f t="shared" si="39"/>
        <v>2159849.793252801</v>
      </c>
      <c r="AY57" s="138">
        <f t="shared" si="40"/>
        <v>18315709.490178574</v>
      </c>
      <c r="AZ57" s="138">
        <f t="shared" si="41"/>
        <v>44</v>
      </c>
      <c r="BA57" s="138">
        <f t="shared" si="49"/>
        <v>2529456.4599194676</v>
      </c>
      <c r="BB57" s="138">
        <f t="shared" si="49"/>
        <v>18315709.490178574</v>
      </c>
      <c r="BC57" s="122"/>
      <c r="BD57" s="122"/>
      <c r="BE57" s="122"/>
      <c r="BF57" s="122"/>
      <c r="BG57" s="122"/>
      <c r="BH57" s="122"/>
      <c r="BI57" s="122"/>
      <c r="BJ57" s="122"/>
      <c r="BK57" s="122"/>
      <c r="BL57" s="145"/>
      <c r="BM57" s="145"/>
      <c r="BN57" s="145"/>
      <c r="BO57" s="145"/>
      <c r="BP57" s="145"/>
      <c r="BQ57" s="145"/>
      <c r="BR57" s="145"/>
      <c r="BS57" s="130">
        <v>43</v>
      </c>
      <c r="BT57" s="131">
        <f t="shared" si="42"/>
        <v>0.5</v>
      </c>
      <c r="BU57" s="138">
        <f>SUM(BT$15:BT57)*BU$13</f>
        <v>68800</v>
      </c>
      <c r="BV57" s="131">
        <f t="shared" si="43"/>
        <v>0.3333333333333333</v>
      </c>
      <c r="BW57" s="138">
        <f>SUM(BV$15:BV57)*BW$13</f>
        <v>64500.00000000004</v>
      </c>
      <c r="BX57" s="131"/>
      <c r="BY57" s="131"/>
      <c r="BZ57" s="131">
        <f t="shared" si="44"/>
        <v>0.1</v>
      </c>
      <c r="CA57" s="138">
        <f>SUM(BZ$15:BZ57)*CA$13</f>
        <v>325510.00000000006</v>
      </c>
      <c r="CB57" s="131">
        <f t="shared" si="45"/>
        <v>0.03571428571428571</v>
      </c>
      <c r="CC57" s="138">
        <f>SUM(CB$15:CB57)*CC$13</f>
        <v>169297.14285714296</v>
      </c>
      <c r="CD57" s="131">
        <f t="shared" si="46"/>
        <v>0.025</v>
      </c>
      <c r="CE57" s="138">
        <f>SUM(CD$15:CD57)*CE$13</f>
        <v>141541.66666666672</v>
      </c>
      <c r="CF57" s="131"/>
      <c r="CG57" s="131"/>
      <c r="CH57" s="130">
        <f t="shared" si="47"/>
        <v>43</v>
      </c>
      <c r="CI57" s="130">
        <f t="shared" si="48"/>
        <v>17899443.36540179</v>
      </c>
      <c r="CJ57" s="145"/>
      <c r="CK57" s="145"/>
      <c r="CL57" s="145"/>
      <c r="CM57" s="145"/>
      <c r="CN57" s="145"/>
      <c r="CO57" s="145"/>
      <c r="CP57" s="145"/>
      <c r="CQ57" s="145"/>
      <c r="CR57" s="145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</row>
    <row r="58" spans="1:108" ht="15.75">
      <c r="A58" s="44"/>
      <c r="B58" s="44"/>
      <c r="C58" s="45"/>
      <c r="D58" s="44"/>
      <c r="E58" s="44"/>
      <c r="F58" s="44"/>
      <c r="G58" s="44"/>
      <c r="H58" s="44"/>
      <c r="I58" s="46"/>
      <c r="J58" s="44"/>
      <c r="K58" s="44"/>
      <c r="L58" s="44"/>
      <c r="M58" s="67"/>
      <c r="N58" s="34"/>
      <c r="O58" s="40"/>
      <c r="P58" s="116"/>
      <c r="Q58" s="116"/>
      <c r="R58" s="141"/>
      <c r="S58" s="142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1"/>
      <c r="AE58" s="121"/>
      <c r="AF58" s="121"/>
      <c r="AG58" s="122"/>
      <c r="AH58" s="134">
        <v>45</v>
      </c>
      <c r="AI58" s="130">
        <f t="shared" si="32"/>
        <v>640</v>
      </c>
      <c r="AJ58" s="138">
        <f>SUM(AI$14:AI58)</f>
        <v>28800</v>
      </c>
      <c r="AK58" s="131">
        <f t="shared" si="33"/>
        <v>0.2</v>
      </c>
      <c r="AL58" s="138">
        <f t="shared" si="34"/>
        <v>900</v>
      </c>
      <c r="AM58" s="134"/>
      <c r="AN58" s="134"/>
      <c r="AO58" s="134">
        <f t="shared" si="35"/>
        <v>0.05</v>
      </c>
      <c r="AP58" s="138">
        <f>SUM(AO$14:AO58)*AP$11</f>
        <v>170325</v>
      </c>
      <c r="AQ58" s="131">
        <f t="shared" si="36"/>
        <v>0.025</v>
      </c>
      <c r="AR58" s="138">
        <f>SUM(AQ$14:AQ58)*AR$11</f>
        <v>124019.99999999999</v>
      </c>
      <c r="AS58" s="131">
        <f t="shared" si="37"/>
        <v>0.016666666666666666</v>
      </c>
      <c r="AT58" s="138">
        <f>SUM(AS$14:AS58)*AT$11</f>
        <v>188750.00000000017</v>
      </c>
      <c r="AU58" s="134"/>
      <c r="AV58" s="134"/>
      <c r="AW58" s="134">
        <f t="shared" si="38"/>
        <v>45</v>
      </c>
      <c r="AX58" s="138">
        <f t="shared" si="39"/>
        <v>2208849.181209001</v>
      </c>
      <c r="AY58" s="138">
        <f t="shared" si="40"/>
        <v>18731975.61495536</v>
      </c>
      <c r="AZ58" s="138">
        <f t="shared" si="41"/>
        <v>45</v>
      </c>
      <c r="BA58" s="138">
        <f t="shared" si="49"/>
        <v>2578455.8478756677</v>
      </c>
      <c r="BB58" s="138">
        <f t="shared" si="49"/>
        <v>18731975.61495536</v>
      </c>
      <c r="BC58" s="122"/>
      <c r="BD58" s="122"/>
      <c r="BE58" s="122"/>
      <c r="BF58" s="122"/>
      <c r="BG58" s="122"/>
      <c r="BH58" s="122"/>
      <c r="BI58" s="122"/>
      <c r="BJ58" s="122"/>
      <c r="BK58" s="122"/>
      <c r="BL58" s="145"/>
      <c r="BM58" s="145"/>
      <c r="BN58" s="145"/>
      <c r="BO58" s="145"/>
      <c r="BP58" s="145"/>
      <c r="BQ58" s="145"/>
      <c r="BR58" s="145"/>
      <c r="BS58" s="130">
        <v>44</v>
      </c>
      <c r="BT58" s="131">
        <f t="shared" si="42"/>
        <v>0.5</v>
      </c>
      <c r="BU58" s="138">
        <f>SUM(BT$15:BT58)*BU$13</f>
        <v>70400</v>
      </c>
      <c r="BV58" s="131">
        <f t="shared" si="43"/>
        <v>0.3333333333333333</v>
      </c>
      <c r="BW58" s="138">
        <f>SUM(BV$15:BV58)*BW$13</f>
        <v>66000.00000000004</v>
      </c>
      <c r="BX58" s="131"/>
      <c r="BY58" s="131"/>
      <c r="BZ58" s="131">
        <f t="shared" si="44"/>
        <v>0.1</v>
      </c>
      <c r="CA58" s="138">
        <f>SUM(BZ$15:BZ58)*CA$13</f>
        <v>333080</v>
      </c>
      <c r="CB58" s="131">
        <f t="shared" si="45"/>
        <v>0.03571428571428571</v>
      </c>
      <c r="CC58" s="138">
        <f>SUM(CB$15:CB58)*CC$13</f>
        <v>173234.2857142858</v>
      </c>
      <c r="CD58" s="131">
        <f t="shared" si="46"/>
        <v>0.025</v>
      </c>
      <c r="CE58" s="138">
        <f>SUM(CD$15:CD58)*CE$13</f>
        <v>144833.33333333337</v>
      </c>
      <c r="CF58" s="131"/>
      <c r="CG58" s="131"/>
      <c r="CH58" s="130">
        <f t="shared" si="47"/>
        <v>44</v>
      </c>
      <c r="CI58" s="130">
        <f t="shared" si="48"/>
        <v>18315709.490178574</v>
      </c>
      <c r="CJ58" s="145"/>
      <c r="CK58" s="145"/>
      <c r="CL58" s="145"/>
      <c r="CM58" s="145"/>
      <c r="CN58" s="145"/>
      <c r="CO58" s="145"/>
      <c r="CP58" s="145"/>
      <c r="CQ58" s="145"/>
      <c r="CR58" s="145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</row>
    <row r="59" spans="1:108" ht="15.75">
      <c r="A59" s="44"/>
      <c r="B59" s="44"/>
      <c r="C59" s="45"/>
      <c r="D59" s="44"/>
      <c r="E59" s="44"/>
      <c r="F59" s="44"/>
      <c r="G59" s="44"/>
      <c r="H59" s="44"/>
      <c r="I59" s="46"/>
      <c r="J59" s="44"/>
      <c r="K59" s="44"/>
      <c r="L59" s="44"/>
      <c r="M59" s="67"/>
      <c r="N59" s="34"/>
      <c r="O59" s="40"/>
      <c r="P59" s="116"/>
      <c r="Q59" s="116"/>
      <c r="R59" s="141"/>
      <c r="S59" s="142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1"/>
      <c r="AE59" s="121"/>
      <c r="AF59" s="121"/>
      <c r="AG59" s="122"/>
      <c r="AH59" s="134">
        <v>46</v>
      </c>
      <c r="AI59" s="130">
        <f t="shared" si="32"/>
        <v>640</v>
      </c>
      <c r="AJ59" s="138">
        <f>SUM(AI$14:AI59)</f>
        <v>29440</v>
      </c>
      <c r="AK59" s="131">
        <f t="shared" si="33"/>
        <v>0.2</v>
      </c>
      <c r="AL59" s="138">
        <f t="shared" si="34"/>
        <v>900</v>
      </c>
      <c r="AM59" s="134"/>
      <c r="AN59" s="134"/>
      <c r="AO59" s="134">
        <f t="shared" si="35"/>
        <v>0.05</v>
      </c>
      <c r="AP59" s="138">
        <f>SUM(AO$14:AO59)*AP$11</f>
        <v>174110</v>
      </c>
      <c r="AQ59" s="131">
        <f t="shared" si="36"/>
        <v>0.025</v>
      </c>
      <c r="AR59" s="138">
        <f>SUM(AQ$14:AQ59)*AR$11</f>
        <v>126775.99999999997</v>
      </c>
      <c r="AS59" s="131">
        <f t="shared" si="37"/>
        <v>0.016666666666666666</v>
      </c>
      <c r="AT59" s="138">
        <f>SUM(AS$14:AS59)*AT$11</f>
        <v>192944.44444444464</v>
      </c>
      <c r="AU59" s="134"/>
      <c r="AV59" s="134"/>
      <c r="AW59" s="134">
        <f t="shared" si="38"/>
        <v>46</v>
      </c>
      <c r="AX59" s="138">
        <f t="shared" si="39"/>
        <v>2257848.569165201</v>
      </c>
      <c r="AY59" s="138">
        <f t="shared" si="40"/>
        <v>19148241.739732146</v>
      </c>
      <c r="AZ59" s="138">
        <f t="shared" si="41"/>
        <v>46</v>
      </c>
      <c r="BA59" s="138">
        <f t="shared" si="49"/>
        <v>2627455.2358318674</v>
      </c>
      <c r="BB59" s="138">
        <f t="shared" si="49"/>
        <v>19148241.739732146</v>
      </c>
      <c r="BC59" s="122"/>
      <c r="BD59" s="122"/>
      <c r="BE59" s="122"/>
      <c r="BF59" s="122"/>
      <c r="BG59" s="122"/>
      <c r="BH59" s="122"/>
      <c r="BI59" s="122"/>
      <c r="BJ59" s="122"/>
      <c r="BK59" s="122"/>
      <c r="BL59" s="145"/>
      <c r="BM59" s="145"/>
      <c r="BN59" s="145"/>
      <c r="BO59" s="145"/>
      <c r="BP59" s="145"/>
      <c r="BQ59" s="145"/>
      <c r="BR59" s="145"/>
      <c r="BS59" s="130">
        <v>45</v>
      </c>
      <c r="BT59" s="131">
        <f t="shared" si="42"/>
        <v>0.5</v>
      </c>
      <c r="BU59" s="138">
        <f>SUM(BT$15:BT59)*BU$13</f>
        <v>72000</v>
      </c>
      <c r="BV59" s="131">
        <f t="shared" si="43"/>
        <v>0.3333333333333333</v>
      </c>
      <c r="BW59" s="138">
        <f>SUM(BV$15:BV59)*BW$13</f>
        <v>67500.00000000004</v>
      </c>
      <c r="BX59" s="131"/>
      <c r="BY59" s="131"/>
      <c r="BZ59" s="131">
        <f t="shared" si="44"/>
        <v>0.1</v>
      </c>
      <c r="CA59" s="138">
        <f>SUM(BZ$15:BZ59)*CA$13</f>
        <v>340650</v>
      </c>
      <c r="CB59" s="131">
        <f t="shared" si="45"/>
        <v>0.03571428571428571</v>
      </c>
      <c r="CC59" s="138">
        <f>SUM(CB$15:CB59)*CC$13</f>
        <v>177171.42857142867</v>
      </c>
      <c r="CD59" s="131">
        <f t="shared" si="46"/>
        <v>0.025</v>
      </c>
      <c r="CE59" s="138">
        <f>SUM(CD$15:CD59)*CE$13</f>
        <v>148125.00000000003</v>
      </c>
      <c r="CF59" s="131"/>
      <c r="CG59" s="131"/>
      <c r="CH59" s="130">
        <f t="shared" si="47"/>
        <v>45</v>
      </c>
      <c r="CI59" s="130">
        <f t="shared" si="48"/>
        <v>18731975.61495536</v>
      </c>
      <c r="CJ59" s="145"/>
      <c r="CK59" s="145"/>
      <c r="CL59" s="145"/>
      <c r="CM59" s="145"/>
      <c r="CN59" s="145"/>
      <c r="CO59" s="145"/>
      <c r="CP59" s="145"/>
      <c r="CQ59" s="145"/>
      <c r="CR59" s="145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</row>
    <row r="60" spans="1:108" ht="18.75">
      <c r="A60" s="44"/>
      <c r="B60" s="44"/>
      <c r="C60" s="93" t="s">
        <v>46</v>
      </c>
      <c r="D60" s="44"/>
      <c r="E60" s="44"/>
      <c r="F60" s="44"/>
      <c r="G60" s="44"/>
      <c r="H60" s="44"/>
      <c r="I60" s="46"/>
      <c r="J60" s="44"/>
      <c r="K60" s="44"/>
      <c r="L60" s="44"/>
      <c r="M60" s="67"/>
      <c r="N60" s="34"/>
      <c r="O60" s="40"/>
      <c r="P60" s="116"/>
      <c r="Q60" s="116"/>
      <c r="R60" s="141"/>
      <c r="S60" s="142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1"/>
      <c r="AE60" s="121"/>
      <c r="AF60" s="121"/>
      <c r="AG60" s="122"/>
      <c r="AH60" s="134">
        <v>47</v>
      </c>
      <c r="AI60" s="130">
        <f t="shared" si="32"/>
        <v>640</v>
      </c>
      <c r="AJ60" s="138">
        <f>SUM(AI$14:AI60)</f>
        <v>30080</v>
      </c>
      <c r="AK60" s="131">
        <f t="shared" si="33"/>
        <v>0.2</v>
      </c>
      <c r="AL60" s="138">
        <f t="shared" si="34"/>
        <v>900</v>
      </c>
      <c r="AM60" s="134"/>
      <c r="AN60" s="134"/>
      <c r="AO60" s="134">
        <f t="shared" si="35"/>
        <v>0.05</v>
      </c>
      <c r="AP60" s="138">
        <f>SUM(AO$14:AO60)*AP$11</f>
        <v>177894.99999999997</v>
      </c>
      <c r="AQ60" s="131">
        <f t="shared" si="36"/>
        <v>0.025</v>
      </c>
      <c r="AR60" s="138">
        <f>SUM(AQ$14:AQ60)*AR$11</f>
        <v>129531.99999999996</v>
      </c>
      <c r="AS60" s="131">
        <f t="shared" si="37"/>
        <v>0.016666666666666666</v>
      </c>
      <c r="AT60" s="138">
        <f>SUM(AS$14:AS60)*AT$11</f>
        <v>197138.8888888891</v>
      </c>
      <c r="AU60" s="134"/>
      <c r="AV60" s="134"/>
      <c r="AW60" s="134">
        <f t="shared" si="38"/>
        <v>47</v>
      </c>
      <c r="AX60" s="138">
        <f t="shared" si="39"/>
        <v>2306847.957121401</v>
      </c>
      <c r="AY60" s="138">
        <f t="shared" si="40"/>
        <v>19564507.86450893</v>
      </c>
      <c r="AZ60" s="138">
        <f t="shared" si="41"/>
        <v>47</v>
      </c>
      <c r="BA60" s="138">
        <f t="shared" si="49"/>
        <v>2676454.6237880676</v>
      </c>
      <c r="BB60" s="138">
        <f t="shared" si="49"/>
        <v>19564507.86450893</v>
      </c>
      <c r="BC60" s="122"/>
      <c r="BD60" s="122"/>
      <c r="BE60" s="122"/>
      <c r="BF60" s="122"/>
      <c r="BG60" s="122"/>
      <c r="BH60" s="122"/>
      <c r="BI60" s="122"/>
      <c r="BJ60" s="122"/>
      <c r="BK60" s="122"/>
      <c r="BL60" s="145"/>
      <c r="BM60" s="145"/>
      <c r="BN60" s="145"/>
      <c r="BO60" s="145"/>
      <c r="BP60" s="145"/>
      <c r="BQ60" s="145"/>
      <c r="BR60" s="145"/>
      <c r="BS60" s="130">
        <v>46</v>
      </c>
      <c r="BT60" s="131">
        <f t="shared" si="42"/>
        <v>0.5</v>
      </c>
      <c r="BU60" s="138">
        <f>SUM(BT$15:BT60)*BU$13</f>
        <v>73600</v>
      </c>
      <c r="BV60" s="131">
        <f t="shared" si="43"/>
        <v>0.3333333333333333</v>
      </c>
      <c r="BW60" s="138">
        <f>SUM(BV$15:BV60)*BW$13</f>
        <v>69000.00000000004</v>
      </c>
      <c r="BX60" s="131"/>
      <c r="BY60" s="131"/>
      <c r="BZ60" s="131">
        <f t="shared" si="44"/>
        <v>0.1</v>
      </c>
      <c r="CA60" s="138">
        <f>SUM(BZ$15:BZ60)*CA$13</f>
        <v>348220</v>
      </c>
      <c r="CB60" s="131">
        <f t="shared" si="45"/>
        <v>0.03571428571428571</v>
      </c>
      <c r="CC60" s="138">
        <f>SUM(CB$15:CB60)*CC$13</f>
        <v>181108.57142857154</v>
      </c>
      <c r="CD60" s="131">
        <f t="shared" si="46"/>
        <v>0.025</v>
      </c>
      <c r="CE60" s="138">
        <f>SUM(CD$15:CD60)*CE$13</f>
        <v>151416.6666666667</v>
      </c>
      <c r="CF60" s="131"/>
      <c r="CG60" s="131"/>
      <c r="CH60" s="130">
        <f t="shared" si="47"/>
        <v>46</v>
      </c>
      <c r="CI60" s="130">
        <f t="shared" si="48"/>
        <v>19148241.739732146</v>
      </c>
      <c r="CJ60" s="145"/>
      <c r="CK60" s="145"/>
      <c r="CL60" s="145"/>
      <c r="CM60" s="145"/>
      <c r="CN60" s="145"/>
      <c r="CO60" s="145"/>
      <c r="CP60" s="145"/>
      <c r="CQ60" s="145"/>
      <c r="CR60" s="145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</row>
    <row r="61" spans="1:108" ht="5.25" customHeight="1">
      <c r="A61" s="44"/>
      <c r="B61" s="44"/>
      <c r="C61" s="93"/>
      <c r="D61" s="44"/>
      <c r="E61" s="44"/>
      <c r="F61" s="44"/>
      <c r="G61" s="44"/>
      <c r="H61" s="44"/>
      <c r="I61" s="46"/>
      <c r="J61" s="44"/>
      <c r="K61" s="44"/>
      <c r="L61" s="44"/>
      <c r="M61" s="67"/>
      <c r="N61" s="34"/>
      <c r="O61" s="40"/>
      <c r="P61" s="116"/>
      <c r="Q61" s="116"/>
      <c r="R61" s="141"/>
      <c r="S61" s="142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1"/>
      <c r="AE61" s="121"/>
      <c r="AF61" s="121"/>
      <c r="AG61" s="122"/>
      <c r="AH61" s="134">
        <v>48</v>
      </c>
      <c r="AI61" s="130">
        <f t="shared" si="32"/>
        <v>640</v>
      </c>
      <c r="AJ61" s="138">
        <f>SUM(AI$14:AI61)</f>
        <v>30720</v>
      </c>
      <c r="AK61" s="131">
        <f t="shared" si="33"/>
        <v>0.2</v>
      </c>
      <c r="AL61" s="138">
        <f t="shared" si="34"/>
        <v>900</v>
      </c>
      <c r="AM61" s="134"/>
      <c r="AN61" s="134"/>
      <c r="AO61" s="134">
        <f t="shared" si="35"/>
        <v>0.05</v>
      </c>
      <c r="AP61" s="138">
        <f>SUM(AO$14:AO61)*AP$11</f>
        <v>181679.99999999997</v>
      </c>
      <c r="AQ61" s="131">
        <f t="shared" si="36"/>
        <v>0.025</v>
      </c>
      <c r="AR61" s="138">
        <f>SUM(AQ$14:AQ61)*AR$11</f>
        <v>132287.99999999994</v>
      </c>
      <c r="AS61" s="131">
        <f t="shared" si="37"/>
        <v>0.016666666666666666</v>
      </c>
      <c r="AT61" s="138">
        <f>SUM(AS$14:AS61)*AT$11</f>
        <v>201333.33333333355</v>
      </c>
      <c r="AU61" s="134"/>
      <c r="AV61" s="134"/>
      <c r="AW61" s="134">
        <f t="shared" si="38"/>
        <v>48</v>
      </c>
      <c r="AX61" s="138">
        <f t="shared" si="39"/>
        <v>2355847.3450776013</v>
      </c>
      <c r="AY61" s="138">
        <f t="shared" si="40"/>
        <v>19980773.989285715</v>
      </c>
      <c r="AZ61" s="138">
        <f t="shared" si="41"/>
        <v>48</v>
      </c>
      <c r="BA61" s="138">
        <f t="shared" si="49"/>
        <v>2725454.011744268</v>
      </c>
      <c r="BB61" s="138">
        <f t="shared" si="49"/>
        <v>19980773.989285715</v>
      </c>
      <c r="BC61" s="122"/>
      <c r="BD61" s="122"/>
      <c r="BE61" s="122"/>
      <c r="BF61" s="122"/>
      <c r="BG61" s="122"/>
      <c r="BH61" s="122"/>
      <c r="BI61" s="122"/>
      <c r="BJ61" s="122"/>
      <c r="BK61" s="122"/>
      <c r="BL61" s="145"/>
      <c r="BM61" s="145"/>
      <c r="BN61" s="145"/>
      <c r="BO61" s="145"/>
      <c r="BP61" s="145"/>
      <c r="BQ61" s="145"/>
      <c r="BR61" s="145"/>
      <c r="BS61" s="130">
        <v>47</v>
      </c>
      <c r="BT61" s="131">
        <f t="shared" si="42"/>
        <v>0.5</v>
      </c>
      <c r="BU61" s="138">
        <f>SUM(BT$15:BT61)*BU$13</f>
        <v>75200</v>
      </c>
      <c r="BV61" s="131">
        <f t="shared" si="43"/>
        <v>0.3333333333333333</v>
      </c>
      <c r="BW61" s="138">
        <f>SUM(BV$15:BV61)*BW$13</f>
        <v>70500.00000000004</v>
      </c>
      <c r="BX61" s="131"/>
      <c r="BY61" s="131"/>
      <c r="BZ61" s="131">
        <f t="shared" si="44"/>
        <v>0.1</v>
      </c>
      <c r="CA61" s="138">
        <f>SUM(BZ$15:BZ61)*CA$13</f>
        <v>355789.99999999994</v>
      </c>
      <c r="CB61" s="131">
        <f t="shared" si="45"/>
        <v>0.03571428571428571</v>
      </c>
      <c r="CC61" s="138">
        <f>SUM(CB$15:CB61)*CC$13</f>
        <v>185045.7142857144</v>
      </c>
      <c r="CD61" s="131">
        <f t="shared" si="46"/>
        <v>0.025</v>
      </c>
      <c r="CE61" s="138">
        <f>SUM(CD$15:CD61)*CE$13</f>
        <v>154708.33333333334</v>
      </c>
      <c r="CF61" s="131"/>
      <c r="CG61" s="131"/>
      <c r="CH61" s="130">
        <f t="shared" si="47"/>
        <v>47</v>
      </c>
      <c r="CI61" s="130">
        <f t="shared" si="48"/>
        <v>19564507.86450893</v>
      </c>
      <c r="CJ61" s="145"/>
      <c r="CK61" s="145"/>
      <c r="CL61" s="145"/>
      <c r="CM61" s="145"/>
      <c r="CN61" s="145"/>
      <c r="CO61" s="145"/>
      <c r="CP61" s="145"/>
      <c r="CQ61" s="145"/>
      <c r="CR61" s="145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</row>
    <row r="62" spans="1:108" ht="15.75">
      <c r="A62" s="44"/>
      <c r="B62" s="44"/>
      <c r="C62" s="45"/>
      <c r="D62" s="44"/>
      <c r="E62" s="44"/>
      <c r="F62" s="44"/>
      <c r="G62" s="44"/>
      <c r="H62" s="44"/>
      <c r="I62" s="46"/>
      <c r="J62" s="44"/>
      <c r="K62" s="44"/>
      <c r="L62" s="44"/>
      <c r="M62" s="67"/>
      <c r="N62" s="34"/>
      <c r="O62" s="40"/>
      <c r="P62" s="116"/>
      <c r="Q62" s="116"/>
      <c r="R62" s="141"/>
      <c r="S62" s="142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1"/>
      <c r="AE62" s="121"/>
      <c r="AF62" s="121"/>
      <c r="AG62" s="122"/>
      <c r="AH62" s="134">
        <v>49</v>
      </c>
      <c r="AI62" s="130">
        <f t="shared" si="32"/>
        <v>640</v>
      </c>
      <c r="AJ62" s="138">
        <f>SUM(AI$14:AI62)</f>
        <v>31360</v>
      </c>
      <c r="AK62" s="131">
        <f t="shared" si="33"/>
        <v>0.2</v>
      </c>
      <c r="AL62" s="138">
        <f t="shared" si="34"/>
        <v>900</v>
      </c>
      <c r="AM62" s="134"/>
      <c r="AN62" s="134"/>
      <c r="AO62" s="134">
        <f t="shared" si="35"/>
        <v>0.05</v>
      </c>
      <c r="AP62" s="138">
        <f>SUM(AO$14:AO62)*AP$11</f>
        <v>185464.99999999994</v>
      </c>
      <c r="AQ62" s="131">
        <f t="shared" si="36"/>
        <v>0.025</v>
      </c>
      <c r="AR62" s="138">
        <f>SUM(AQ$14:AQ62)*AR$11</f>
        <v>135043.99999999994</v>
      </c>
      <c r="AS62" s="131">
        <f t="shared" si="37"/>
        <v>0.016666666666666666</v>
      </c>
      <c r="AT62" s="138">
        <f>SUM(AS$14:AS62)*AT$11</f>
        <v>205527.777777778</v>
      </c>
      <c r="AU62" s="134"/>
      <c r="AV62" s="134"/>
      <c r="AW62" s="134">
        <f t="shared" si="38"/>
        <v>49</v>
      </c>
      <c r="AX62" s="138">
        <f t="shared" si="39"/>
        <v>2404846.7330338014</v>
      </c>
      <c r="AY62" s="138">
        <f t="shared" si="40"/>
        <v>20397040.1140625</v>
      </c>
      <c r="AZ62" s="138">
        <f t="shared" si="41"/>
        <v>49</v>
      </c>
      <c r="BA62" s="138">
        <f t="shared" si="49"/>
        <v>2774453.399700468</v>
      </c>
      <c r="BB62" s="138">
        <f t="shared" si="49"/>
        <v>20397040.1140625</v>
      </c>
      <c r="BC62" s="122"/>
      <c r="BD62" s="122"/>
      <c r="BE62" s="122"/>
      <c r="BF62" s="122"/>
      <c r="BG62" s="122"/>
      <c r="BH62" s="122"/>
      <c r="BI62" s="122"/>
      <c r="BJ62" s="122"/>
      <c r="BK62" s="122"/>
      <c r="BL62" s="145"/>
      <c r="BM62" s="145"/>
      <c r="BN62" s="145"/>
      <c r="BO62" s="145"/>
      <c r="BP62" s="145"/>
      <c r="BQ62" s="145"/>
      <c r="BR62" s="145"/>
      <c r="BS62" s="130">
        <v>48</v>
      </c>
      <c r="BT62" s="131">
        <f t="shared" si="42"/>
        <v>0.5</v>
      </c>
      <c r="BU62" s="138">
        <f>SUM(BT$15:BT62)*BU$13</f>
        <v>76800</v>
      </c>
      <c r="BV62" s="131">
        <f t="shared" si="43"/>
        <v>0.3333333333333333</v>
      </c>
      <c r="BW62" s="138">
        <f>SUM(BV$15:BV62)*BW$13</f>
        <v>72000.00000000004</v>
      </c>
      <c r="BX62" s="131"/>
      <c r="BY62" s="131"/>
      <c r="BZ62" s="131">
        <f t="shared" si="44"/>
        <v>0.1</v>
      </c>
      <c r="CA62" s="138">
        <f>SUM(BZ$15:BZ62)*CA$13</f>
        <v>363359.99999999994</v>
      </c>
      <c r="CB62" s="131">
        <f t="shared" si="45"/>
        <v>0.03571428571428571</v>
      </c>
      <c r="CC62" s="138">
        <f>SUM(CB$15:CB62)*CC$13</f>
        <v>188982.85714285728</v>
      </c>
      <c r="CD62" s="131">
        <f t="shared" si="46"/>
        <v>0.025</v>
      </c>
      <c r="CE62" s="138">
        <f>SUM(CD$15:CD62)*CE$13</f>
        <v>158000</v>
      </c>
      <c r="CF62" s="131"/>
      <c r="CG62" s="131"/>
      <c r="CH62" s="130">
        <f t="shared" si="47"/>
        <v>48</v>
      </c>
      <c r="CI62" s="130">
        <f t="shared" si="48"/>
        <v>19980773.989285715</v>
      </c>
      <c r="CJ62" s="145"/>
      <c r="CK62" s="145"/>
      <c r="CL62" s="145"/>
      <c r="CM62" s="145"/>
      <c r="CN62" s="145"/>
      <c r="CO62" s="145"/>
      <c r="CP62" s="145"/>
      <c r="CQ62" s="145"/>
      <c r="CR62" s="145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</row>
    <row r="63" spans="1:108" ht="15.75">
      <c r="A63" s="44"/>
      <c r="B63" s="44"/>
      <c r="C63" s="45"/>
      <c r="D63" s="44"/>
      <c r="E63" s="44"/>
      <c r="F63" s="44"/>
      <c r="G63" s="44"/>
      <c r="H63" s="44"/>
      <c r="I63" s="46"/>
      <c r="J63" s="44"/>
      <c r="K63" s="44"/>
      <c r="L63" s="44"/>
      <c r="M63" s="67"/>
      <c r="N63" s="34"/>
      <c r="O63" s="40"/>
      <c r="P63" s="116"/>
      <c r="Q63" s="116"/>
      <c r="R63" s="141"/>
      <c r="S63" s="142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1"/>
      <c r="AE63" s="121"/>
      <c r="AF63" s="121"/>
      <c r="AG63" s="122"/>
      <c r="AH63" s="134">
        <v>50</v>
      </c>
      <c r="AI63" s="130">
        <f t="shared" si="32"/>
        <v>640</v>
      </c>
      <c r="AJ63" s="138">
        <f>SUM(AI$14:AI63)</f>
        <v>32000</v>
      </c>
      <c r="AK63" s="131">
        <f t="shared" si="33"/>
        <v>0.2</v>
      </c>
      <c r="AL63" s="138">
        <f t="shared" si="34"/>
        <v>900</v>
      </c>
      <c r="AM63" s="134"/>
      <c r="AN63" s="134"/>
      <c r="AO63" s="134">
        <f t="shared" si="35"/>
        <v>0.05</v>
      </c>
      <c r="AP63" s="138">
        <f>SUM(AO$14:AO63)*AP$11</f>
        <v>189249.99999999994</v>
      </c>
      <c r="AQ63" s="131">
        <f t="shared" si="36"/>
        <v>0.025</v>
      </c>
      <c r="AR63" s="138">
        <f>SUM(AQ$14:AQ63)*AR$11</f>
        <v>137799.99999999994</v>
      </c>
      <c r="AS63" s="131">
        <f t="shared" si="37"/>
        <v>0.016666666666666666</v>
      </c>
      <c r="AT63" s="138">
        <f>SUM(AS$14:AS63)*AT$11</f>
        <v>209722.22222222248</v>
      </c>
      <c r="AU63" s="134"/>
      <c r="AV63" s="134"/>
      <c r="AW63" s="134">
        <f t="shared" si="38"/>
        <v>50</v>
      </c>
      <c r="AX63" s="138">
        <f t="shared" si="39"/>
        <v>2453846.120990001</v>
      </c>
      <c r="AY63" s="138">
        <f t="shared" si="40"/>
        <v>20813306.238839287</v>
      </c>
      <c r="AZ63" s="138">
        <f t="shared" si="41"/>
        <v>50</v>
      </c>
      <c r="BA63" s="138">
        <f t="shared" si="49"/>
        <v>2823452.7876566676</v>
      </c>
      <c r="BB63" s="138">
        <f t="shared" si="49"/>
        <v>20813306.238839287</v>
      </c>
      <c r="BC63" s="122"/>
      <c r="BD63" s="122"/>
      <c r="BE63" s="122"/>
      <c r="BF63" s="122"/>
      <c r="BG63" s="122"/>
      <c r="BH63" s="122"/>
      <c r="BI63" s="122"/>
      <c r="BJ63" s="122"/>
      <c r="BK63" s="122"/>
      <c r="BL63" s="145"/>
      <c r="BM63" s="145"/>
      <c r="BN63" s="145"/>
      <c r="BO63" s="145"/>
      <c r="BP63" s="145"/>
      <c r="BQ63" s="145"/>
      <c r="BR63" s="145"/>
      <c r="BS63" s="130">
        <v>49</v>
      </c>
      <c r="BT63" s="131">
        <f t="shared" si="42"/>
        <v>0.5</v>
      </c>
      <c r="BU63" s="138">
        <f>SUM(BT$15:BT63)*BU$13</f>
        <v>78400</v>
      </c>
      <c r="BV63" s="131">
        <f t="shared" si="43"/>
        <v>0.3333333333333333</v>
      </c>
      <c r="BW63" s="138">
        <f>SUM(BV$15:BV63)*BW$13</f>
        <v>73500.00000000004</v>
      </c>
      <c r="BX63" s="131"/>
      <c r="BY63" s="131"/>
      <c r="BZ63" s="131">
        <f t="shared" si="44"/>
        <v>0.1</v>
      </c>
      <c r="CA63" s="138">
        <f>SUM(BZ$15:BZ63)*CA$13</f>
        <v>370929.9999999999</v>
      </c>
      <c r="CB63" s="131">
        <f t="shared" si="45"/>
        <v>0.03571428571428571</v>
      </c>
      <c r="CC63" s="138">
        <f>SUM(CB$15:CB63)*CC$13</f>
        <v>192920.00000000015</v>
      </c>
      <c r="CD63" s="131">
        <f t="shared" si="46"/>
        <v>0.025</v>
      </c>
      <c r="CE63" s="138">
        <f>SUM(CD$15:CD63)*CE$13</f>
        <v>161291.66666666666</v>
      </c>
      <c r="CF63" s="131"/>
      <c r="CG63" s="131"/>
      <c r="CH63" s="130">
        <f t="shared" si="47"/>
        <v>49</v>
      </c>
      <c r="CI63" s="130">
        <f t="shared" si="48"/>
        <v>20397040.1140625</v>
      </c>
      <c r="CJ63" s="145"/>
      <c r="CK63" s="145"/>
      <c r="CL63" s="145"/>
      <c r="CM63" s="145"/>
      <c r="CN63" s="145"/>
      <c r="CO63" s="145"/>
      <c r="CP63" s="145"/>
      <c r="CQ63" s="145"/>
      <c r="CR63" s="145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</row>
    <row r="64" spans="1:108" ht="15.75">
      <c r="A64" s="44"/>
      <c r="B64" s="44"/>
      <c r="C64" s="45"/>
      <c r="D64" s="44"/>
      <c r="E64" s="44"/>
      <c r="F64" s="44"/>
      <c r="G64" s="44"/>
      <c r="H64" s="44"/>
      <c r="I64" s="46"/>
      <c r="J64" s="44"/>
      <c r="K64" s="44"/>
      <c r="L64" s="44"/>
      <c r="M64" s="67"/>
      <c r="N64" s="34"/>
      <c r="O64" s="40"/>
      <c r="P64" s="116"/>
      <c r="Q64" s="116"/>
      <c r="R64" s="141"/>
      <c r="S64" s="142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1"/>
      <c r="AE64" s="121"/>
      <c r="AF64" s="121"/>
      <c r="AG64" s="122"/>
      <c r="AH64" s="134">
        <v>51</v>
      </c>
      <c r="AI64" s="130">
        <f t="shared" si="32"/>
        <v>640</v>
      </c>
      <c r="AJ64" s="138">
        <f>SUM(AI$14:AI64)</f>
        <v>32640</v>
      </c>
      <c r="AK64" s="131">
        <f t="shared" si="33"/>
        <v>0.2</v>
      </c>
      <c r="AL64" s="138">
        <f t="shared" si="34"/>
        <v>900</v>
      </c>
      <c r="AM64" s="134"/>
      <c r="AN64" s="134"/>
      <c r="AO64" s="134">
        <f t="shared" si="35"/>
        <v>0.05</v>
      </c>
      <c r="AP64" s="138">
        <f>SUM(AO$14:AO64)*AP$11</f>
        <v>193034.9999999999</v>
      </c>
      <c r="AQ64" s="131">
        <f t="shared" si="36"/>
        <v>0.025</v>
      </c>
      <c r="AR64" s="138">
        <f>SUM(AQ$14:AQ64)*AR$11</f>
        <v>140555.9999999999</v>
      </c>
      <c r="AS64" s="131">
        <f t="shared" si="37"/>
        <v>0.016666666666666666</v>
      </c>
      <c r="AT64" s="138">
        <f>SUM(AS$14:AS64)*AT$11</f>
        <v>213916.66666666692</v>
      </c>
      <c r="AU64" s="134"/>
      <c r="AV64" s="134"/>
      <c r="AW64" s="134">
        <f t="shared" si="38"/>
        <v>51</v>
      </c>
      <c r="AX64" s="138">
        <f t="shared" si="39"/>
        <v>2502845.508946201</v>
      </c>
      <c r="AY64" s="138">
        <f t="shared" si="40"/>
        <v>21229572.36361607</v>
      </c>
      <c r="AZ64" s="138">
        <f t="shared" si="41"/>
        <v>51</v>
      </c>
      <c r="BA64" s="138">
        <f t="shared" si="49"/>
        <v>2872452.1756128673</v>
      </c>
      <c r="BB64" s="138">
        <f t="shared" si="49"/>
        <v>21229572.36361607</v>
      </c>
      <c r="BC64" s="122"/>
      <c r="BD64" s="122"/>
      <c r="BE64" s="122"/>
      <c r="BF64" s="122"/>
      <c r="BG64" s="122"/>
      <c r="BH64" s="122"/>
      <c r="BI64" s="122"/>
      <c r="BJ64" s="122"/>
      <c r="BK64" s="122"/>
      <c r="BL64" s="145"/>
      <c r="BM64" s="145"/>
      <c r="BN64" s="145"/>
      <c r="BO64" s="145"/>
      <c r="BP64" s="145"/>
      <c r="BQ64" s="145"/>
      <c r="BR64" s="145"/>
      <c r="BS64" s="130">
        <v>50</v>
      </c>
      <c r="BT64" s="131">
        <f t="shared" si="42"/>
        <v>0.5</v>
      </c>
      <c r="BU64" s="138">
        <f>SUM(BT$15:BT64)*BU$13</f>
        <v>80000</v>
      </c>
      <c r="BV64" s="131">
        <f t="shared" si="43"/>
        <v>0.3333333333333333</v>
      </c>
      <c r="BW64" s="138">
        <f>SUM(BV$15:BV64)*BW$13</f>
        <v>75000.00000000004</v>
      </c>
      <c r="BX64" s="131"/>
      <c r="BY64" s="131"/>
      <c r="BZ64" s="131">
        <f t="shared" si="44"/>
        <v>0.1</v>
      </c>
      <c r="CA64" s="138">
        <f>SUM(BZ$15:BZ64)*CA$13</f>
        <v>378499.9999999999</v>
      </c>
      <c r="CB64" s="131">
        <f t="shared" si="45"/>
        <v>0.03571428571428571</v>
      </c>
      <c r="CC64" s="138">
        <f>SUM(CB$15:CB64)*CC$13</f>
        <v>196857.14285714302</v>
      </c>
      <c r="CD64" s="131">
        <f t="shared" si="46"/>
        <v>0.025</v>
      </c>
      <c r="CE64" s="138">
        <f>SUM(CD$15:CD64)*CE$13</f>
        <v>164583.33333333328</v>
      </c>
      <c r="CF64" s="131"/>
      <c r="CG64" s="131"/>
      <c r="CH64" s="130">
        <f t="shared" si="47"/>
        <v>50</v>
      </c>
      <c r="CI64" s="130">
        <f t="shared" si="48"/>
        <v>20813306.238839287</v>
      </c>
      <c r="CJ64" s="145"/>
      <c r="CK64" s="145"/>
      <c r="CL64" s="145"/>
      <c r="CM64" s="145"/>
      <c r="CN64" s="145"/>
      <c r="CO64" s="145"/>
      <c r="CP64" s="145"/>
      <c r="CQ64" s="145"/>
      <c r="CR64" s="145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</row>
    <row r="65" spans="1:108" ht="15.75">
      <c r="A65" s="44"/>
      <c r="B65" s="44"/>
      <c r="C65" s="45"/>
      <c r="D65" s="44"/>
      <c r="E65" s="44"/>
      <c r="F65" s="44"/>
      <c r="G65" s="44"/>
      <c r="H65" s="44"/>
      <c r="I65" s="46"/>
      <c r="J65" s="44"/>
      <c r="K65" s="44"/>
      <c r="L65" s="44"/>
      <c r="M65" s="67"/>
      <c r="N65" s="34"/>
      <c r="O65" s="40"/>
      <c r="P65" s="116"/>
      <c r="Q65" s="116"/>
      <c r="R65" s="141"/>
      <c r="S65" s="142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1"/>
      <c r="AE65" s="121"/>
      <c r="AF65" s="121"/>
      <c r="AG65" s="122"/>
      <c r="AH65" s="134">
        <v>52</v>
      </c>
      <c r="AI65" s="130">
        <f t="shared" si="32"/>
        <v>640</v>
      </c>
      <c r="AJ65" s="138">
        <f>SUM(AI$14:AI65)</f>
        <v>33280</v>
      </c>
      <c r="AK65" s="131">
        <f t="shared" si="33"/>
        <v>0.2</v>
      </c>
      <c r="AL65" s="138">
        <f t="shared" si="34"/>
        <v>900</v>
      </c>
      <c r="AM65" s="134"/>
      <c r="AN65" s="134"/>
      <c r="AO65" s="134">
        <f t="shared" si="35"/>
        <v>0.05</v>
      </c>
      <c r="AP65" s="138">
        <f>SUM(AO$14:AO65)*AP$11</f>
        <v>196819.9999999999</v>
      </c>
      <c r="AQ65" s="131">
        <f t="shared" si="36"/>
        <v>0.025</v>
      </c>
      <c r="AR65" s="138">
        <f>SUM(AQ$14:AQ65)*AR$11</f>
        <v>143311.9999999999</v>
      </c>
      <c r="AS65" s="131">
        <f t="shared" si="37"/>
        <v>0.016666666666666666</v>
      </c>
      <c r="AT65" s="138">
        <f>SUM(AS$14:AS65)*AT$11</f>
        <v>218111.1111111114</v>
      </c>
      <c r="AU65" s="134"/>
      <c r="AV65" s="134"/>
      <c r="AW65" s="134">
        <f t="shared" si="38"/>
        <v>52</v>
      </c>
      <c r="AX65" s="138">
        <f t="shared" si="39"/>
        <v>2551844.896902401</v>
      </c>
      <c r="AY65" s="138">
        <f t="shared" si="40"/>
        <v>21645838.48839286</v>
      </c>
      <c r="AZ65" s="138">
        <f t="shared" si="41"/>
        <v>52</v>
      </c>
      <c r="BA65" s="138">
        <f t="shared" si="49"/>
        <v>2921451.5635690675</v>
      </c>
      <c r="BB65" s="138">
        <f t="shared" si="49"/>
        <v>21645838.48839286</v>
      </c>
      <c r="BC65" s="122"/>
      <c r="BD65" s="122"/>
      <c r="BE65" s="122"/>
      <c r="BF65" s="122"/>
      <c r="BG65" s="122"/>
      <c r="BH65" s="122"/>
      <c r="BI65" s="122"/>
      <c r="BJ65" s="122"/>
      <c r="BK65" s="122"/>
      <c r="BL65" s="145"/>
      <c r="BM65" s="145"/>
      <c r="BN65" s="145"/>
      <c r="BO65" s="145"/>
      <c r="BP65" s="145"/>
      <c r="BQ65" s="145"/>
      <c r="BR65" s="145"/>
      <c r="BS65" s="130">
        <v>51</v>
      </c>
      <c r="BT65" s="131">
        <f t="shared" si="42"/>
        <v>0.5</v>
      </c>
      <c r="BU65" s="138">
        <f>SUM(BT$15:BT65)*BU$13</f>
        <v>81600</v>
      </c>
      <c r="BV65" s="131">
        <f t="shared" si="43"/>
        <v>0.3333333333333333</v>
      </c>
      <c r="BW65" s="138">
        <f>SUM(BV$15:BV65)*BW$13</f>
        <v>76500.00000000003</v>
      </c>
      <c r="BX65" s="131"/>
      <c r="BY65" s="131"/>
      <c r="BZ65" s="131">
        <f t="shared" si="44"/>
        <v>0.1</v>
      </c>
      <c r="CA65" s="138">
        <f>SUM(BZ$15:BZ65)*CA$13</f>
        <v>386069.9999999998</v>
      </c>
      <c r="CB65" s="131">
        <f t="shared" si="45"/>
        <v>0.03571428571428571</v>
      </c>
      <c r="CC65" s="138">
        <f>SUM(CB$15:CB65)*CC$13</f>
        <v>200794.28571428588</v>
      </c>
      <c r="CD65" s="131">
        <f t="shared" si="46"/>
        <v>0.025</v>
      </c>
      <c r="CE65" s="138">
        <f>SUM(CD$15:CD65)*CE$13</f>
        <v>167874.99999999994</v>
      </c>
      <c r="CF65" s="131"/>
      <c r="CG65" s="131"/>
      <c r="CH65" s="130">
        <f t="shared" si="47"/>
        <v>51</v>
      </c>
      <c r="CI65" s="130">
        <f t="shared" si="48"/>
        <v>21229572.36361607</v>
      </c>
      <c r="CJ65" s="145"/>
      <c r="CK65" s="145"/>
      <c r="CL65" s="145"/>
      <c r="CM65" s="145"/>
      <c r="CN65" s="145"/>
      <c r="CO65" s="145"/>
      <c r="CP65" s="145"/>
      <c r="CQ65" s="145"/>
      <c r="CR65" s="145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</row>
    <row r="66" spans="1:108" ht="15.75">
      <c r="A66" s="44"/>
      <c r="B66" s="44"/>
      <c r="C66" s="45"/>
      <c r="D66" s="44"/>
      <c r="E66" s="44"/>
      <c r="F66" s="44"/>
      <c r="G66" s="44"/>
      <c r="H66" s="44"/>
      <c r="I66" s="46"/>
      <c r="J66" s="44"/>
      <c r="K66" s="44"/>
      <c r="L66" s="44"/>
      <c r="M66" s="67"/>
      <c r="N66" s="34"/>
      <c r="O66" s="40"/>
      <c r="P66" s="116"/>
      <c r="Q66" s="116"/>
      <c r="R66" s="141"/>
      <c r="S66" s="142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1"/>
      <c r="AE66" s="121"/>
      <c r="AF66" s="121"/>
      <c r="AG66" s="122"/>
      <c r="AH66" s="134">
        <v>53</v>
      </c>
      <c r="AI66" s="130">
        <f t="shared" si="32"/>
        <v>640</v>
      </c>
      <c r="AJ66" s="138">
        <f>SUM(AI$14:AI66)</f>
        <v>33920</v>
      </c>
      <c r="AK66" s="131">
        <f t="shared" si="33"/>
        <v>0.2</v>
      </c>
      <c r="AL66" s="138">
        <f t="shared" si="34"/>
        <v>900</v>
      </c>
      <c r="AM66" s="134"/>
      <c r="AN66" s="134"/>
      <c r="AO66" s="134">
        <f t="shared" si="35"/>
        <v>0.05</v>
      </c>
      <c r="AP66" s="138">
        <f>SUM(AO$14:AO66)*AP$11</f>
        <v>200604.99999999988</v>
      </c>
      <c r="AQ66" s="131">
        <f t="shared" si="36"/>
        <v>0.025</v>
      </c>
      <c r="AR66" s="138">
        <f>SUM(AQ$14:AQ66)*AR$11</f>
        <v>146067.9999999999</v>
      </c>
      <c r="AS66" s="131">
        <f t="shared" si="37"/>
        <v>0.016666666666666666</v>
      </c>
      <c r="AT66" s="138">
        <f>SUM(AS$14:AS66)*AT$11</f>
        <v>222305.55555555585</v>
      </c>
      <c r="AU66" s="134"/>
      <c r="AV66" s="134"/>
      <c r="AW66" s="134">
        <f t="shared" si="38"/>
        <v>53</v>
      </c>
      <c r="AX66" s="138">
        <f t="shared" si="39"/>
        <v>2600844.2848586007</v>
      </c>
      <c r="AY66" s="138">
        <f t="shared" si="40"/>
        <v>22062104.613169637</v>
      </c>
      <c r="AZ66" s="138">
        <f t="shared" si="41"/>
        <v>53</v>
      </c>
      <c r="BA66" s="138">
        <f t="shared" si="49"/>
        <v>2970450.951525267</v>
      </c>
      <c r="BB66" s="138">
        <f t="shared" si="49"/>
        <v>22062104.613169637</v>
      </c>
      <c r="BC66" s="122"/>
      <c r="BD66" s="122"/>
      <c r="BE66" s="122"/>
      <c r="BF66" s="122"/>
      <c r="BG66" s="122"/>
      <c r="BH66" s="122"/>
      <c r="BI66" s="122"/>
      <c r="BJ66" s="122"/>
      <c r="BK66" s="122"/>
      <c r="BL66" s="145"/>
      <c r="BM66" s="145"/>
      <c r="BN66" s="145"/>
      <c r="BO66" s="145"/>
      <c r="BP66" s="145"/>
      <c r="BQ66" s="145"/>
      <c r="BR66" s="145"/>
      <c r="BS66" s="130">
        <v>52</v>
      </c>
      <c r="BT66" s="131">
        <f t="shared" si="42"/>
        <v>0.5</v>
      </c>
      <c r="BU66" s="138">
        <f>SUM(BT$15:BT66)*BU$13</f>
        <v>83200</v>
      </c>
      <c r="BV66" s="131">
        <f t="shared" si="43"/>
        <v>0.3333333333333333</v>
      </c>
      <c r="BW66" s="138">
        <f>SUM(BV$15:BV66)*BW$13</f>
        <v>78000.00000000003</v>
      </c>
      <c r="BX66" s="131"/>
      <c r="BY66" s="131"/>
      <c r="BZ66" s="131">
        <f t="shared" si="44"/>
        <v>0.1</v>
      </c>
      <c r="CA66" s="138">
        <f>SUM(BZ$15:BZ66)*CA$13</f>
        <v>393639.9999999998</v>
      </c>
      <c r="CB66" s="131">
        <f t="shared" si="45"/>
        <v>0.03571428571428571</v>
      </c>
      <c r="CC66" s="138">
        <f>SUM(CB$15:CB66)*CC$13</f>
        <v>204731.42857142875</v>
      </c>
      <c r="CD66" s="131">
        <f t="shared" si="46"/>
        <v>0.025</v>
      </c>
      <c r="CE66" s="138">
        <f>SUM(CD$15:CD66)*CE$13</f>
        <v>171166.6666666666</v>
      </c>
      <c r="CF66" s="131"/>
      <c r="CG66" s="131"/>
      <c r="CH66" s="130">
        <f t="shared" si="47"/>
        <v>52</v>
      </c>
      <c r="CI66" s="130">
        <f t="shared" si="48"/>
        <v>21645838.48839286</v>
      </c>
      <c r="CJ66" s="145"/>
      <c r="CK66" s="145"/>
      <c r="CL66" s="145"/>
      <c r="CM66" s="145"/>
      <c r="CN66" s="145"/>
      <c r="CO66" s="145"/>
      <c r="CP66" s="145"/>
      <c r="CQ66" s="145"/>
      <c r="CR66" s="145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</row>
    <row r="67" spans="1:108" ht="15.75">
      <c r="A67" s="44"/>
      <c r="B67" s="44"/>
      <c r="C67" s="45"/>
      <c r="D67" s="44"/>
      <c r="E67" s="44"/>
      <c r="F67" s="44"/>
      <c r="G67" s="44"/>
      <c r="H67" s="44"/>
      <c r="I67" s="46"/>
      <c r="J67" s="44"/>
      <c r="K67" s="44"/>
      <c r="L67" s="44"/>
      <c r="M67" s="67"/>
      <c r="N67" s="34"/>
      <c r="O67" s="40"/>
      <c r="P67" s="116"/>
      <c r="Q67" s="116"/>
      <c r="R67" s="141"/>
      <c r="S67" s="142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1"/>
      <c r="AE67" s="121"/>
      <c r="AF67" s="121"/>
      <c r="AG67" s="122"/>
      <c r="AH67" s="134">
        <v>54</v>
      </c>
      <c r="AI67" s="130">
        <f t="shared" si="32"/>
        <v>640</v>
      </c>
      <c r="AJ67" s="138">
        <f>SUM(AI$14:AI67)</f>
        <v>34560</v>
      </c>
      <c r="AK67" s="131">
        <f t="shared" si="33"/>
        <v>0.2</v>
      </c>
      <c r="AL67" s="138">
        <f t="shared" si="34"/>
        <v>900</v>
      </c>
      <c r="AM67" s="134"/>
      <c r="AN67" s="134"/>
      <c r="AO67" s="134">
        <f t="shared" si="35"/>
        <v>0.05</v>
      </c>
      <c r="AP67" s="138">
        <f>SUM(AO$14:AO67)*AP$11</f>
        <v>204389.99999999988</v>
      </c>
      <c r="AQ67" s="131">
        <f t="shared" si="36"/>
        <v>0.025</v>
      </c>
      <c r="AR67" s="138">
        <f>SUM(AQ$14:AQ67)*AR$11</f>
        <v>148823.99999999988</v>
      </c>
      <c r="AS67" s="131">
        <f t="shared" si="37"/>
        <v>0.016666666666666666</v>
      </c>
      <c r="AT67" s="138">
        <f>SUM(AS$14:AS67)*AT$11</f>
        <v>226500.0000000003</v>
      </c>
      <c r="AU67" s="134"/>
      <c r="AV67" s="134"/>
      <c r="AW67" s="134">
        <f t="shared" si="38"/>
        <v>54</v>
      </c>
      <c r="AX67" s="138">
        <f t="shared" si="39"/>
        <v>2649843.6728148004</v>
      </c>
      <c r="AY67" s="138">
        <f t="shared" si="40"/>
        <v>22478370.737946425</v>
      </c>
      <c r="AZ67" s="138">
        <f t="shared" si="41"/>
        <v>54</v>
      </c>
      <c r="BA67" s="138">
        <f t="shared" si="49"/>
        <v>3019450.339481467</v>
      </c>
      <c r="BB67" s="138">
        <f t="shared" si="49"/>
        <v>22478370.737946425</v>
      </c>
      <c r="BC67" s="122"/>
      <c r="BD67" s="122"/>
      <c r="BE67" s="122"/>
      <c r="BF67" s="122"/>
      <c r="BG67" s="122"/>
      <c r="BH67" s="122"/>
      <c r="BI67" s="122"/>
      <c r="BJ67" s="122"/>
      <c r="BK67" s="122"/>
      <c r="BL67" s="145"/>
      <c r="BM67" s="145"/>
      <c r="BN67" s="145"/>
      <c r="BO67" s="145"/>
      <c r="BP67" s="145"/>
      <c r="BQ67" s="145"/>
      <c r="BR67" s="145"/>
      <c r="BS67" s="130">
        <v>53</v>
      </c>
      <c r="BT67" s="131">
        <f t="shared" si="42"/>
        <v>0.5</v>
      </c>
      <c r="BU67" s="138">
        <f>SUM(BT$15:BT67)*BU$13</f>
        <v>84800</v>
      </c>
      <c r="BV67" s="131">
        <f t="shared" si="43"/>
        <v>0.3333333333333333</v>
      </c>
      <c r="BW67" s="138">
        <f>SUM(BV$15:BV67)*BW$13</f>
        <v>79500.00000000001</v>
      </c>
      <c r="BX67" s="131"/>
      <c r="BY67" s="131"/>
      <c r="BZ67" s="131">
        <f t="shared" si="44"/>
        <v>0.1</v>
      </c>
      <c r="CA67" s="138">
        <f>SUM(BZ$15:BZ67)*CA$13</f>
        <v>401209.99999999977</v>
      </c>
      <c r="CB67" s="131">
        <f t="shared" si="45"/>
        <v>0.03571428571428571</v>
      </c>
      <c r="CC67" s="138">
        <f>SUM(CB$15:CB67)*CC$13</f>
        <v>208668.57142857162</v>
      </c>
      <c r="CD67" s="131">
        <f t="shared" si="46"/>
        <v>0.025</v>
      </c>
      <c r="CE67" s="138">
        <f>SUM(CD$15:CD67)*CE$13</f>
        <v>174458.33333333326</v>
      </c>
      <c r="CF67" s="131"/>
      <c r="CG67" s="131"/>
      <c r="CH67" s="130">
        <f t="shared" si="47"/>
        <v>53</v>
      </c>
      <c r="CI67" s="130">
        <f t="shared" si="48"/>
        <v>22062104.613169637</v>
      </c>
      <c r="CJ67" s="145"/>
      <c r="CK67" s="145"/>
      <c r="CL67" s="145"/>
      <c r="CM67" s="145"/>
      <c r="CN67" s="145"/>
      <c r="CO67" s="145"/>
      <c r="CP67" s="145"/>
      <c r="CQ67" s="145"/>
      <c r="CR67" s="145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</row>
    <row r="68" spans="1:108" ht="15.75">
      <c r="A68" s="44"/>
      <c r="B68" s="44"/>
      <c r="C68" s="45"/>
      <c r="D68" s="44"/>
      <c r="E68" s="44"/>
      <c r="F68" s="44"/>
      <c r="G68" s="44"/>
      <c r="H68" s="44"/>
      <c r="I68" s="46"/>
      <c r="J68" s="44"/>
      <c r="K68" s="44"/>
      <c r="L68" s="44"/>
      <c r="M68" s="67"/>
      <c r="N68" s="34"/>
      <c r="O68" s="40"/>
      <c r="P68" s="116"/>
      <c r="Q68" s="116"/>
      <c r="R68" s="141"/>
      <c r="S68" s="142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1"/>
      <c r="AE68" s="121"/>
      <c r="AF68" s="121"/>
      <c r="AG68" s="122"/>
      <c r="AH68" s="134">
        <v>55</v>
      </c>
      <c r="AI68" s="130">
        <f t="shared" si="32"/>
        <v>640</v>
      </c>
      <c r="AJ68" s="138">
        <f>SUM(AI$14:AI68)</f>
        <v>35200</v>
      </c>
      <c r="AK68" s="131">
        <f t="shared" si="33"/>
        <v>0.2</v>
      </c>
      <c r="AL68" s="138">
        <f t="shared" si="34"/>
        <v>900</v>
      </c>
      <c r="AM68" s="134"/>
      <c r="AN68" s="134"/>
      <c r="AO68" s="134">
        <f t="shared" si="35"/>
        <v>0.05</v>
      </c>
      <c r="AP68" s="138">
        <f>SUM(AO$14:AO68)*AP$11</f>
        <v>208174.99999999985</v>
      </c>
      <c r="AQ68" s="131">
        <f t="shared" si="36"/>
        <v>0.025</v>
      </c>
      <c r="AR68" s="138">
        <f>SUM(AQ$14:AQ68)*AR$11</f>
        <v>151579.99999999988</v>
      </c>
      <c r="AS68" s="131">
        <f t="shared" si="37"/>
        <v>0.016666666666666666</v>
      </c>
      <c r="AT68" s="138">
        <f>SUM(AS$14:AS68)*AT$11</f>
        <v>230694.44444444476</v>
      </c>
      <c r="AU68" s="134"/>
      <c r="AV68" s="134"/>
      <c r="AW68" s="134">
        <f t="shared" si="38"/>
        <v>55</v>
      </c>
      <c r="AX68" s="138">
        <f t="shared" si="39"/>
        <v>2698843.060771001</v>
      </c>
      <c r="AY68" s="138">
        <f t="shared" si="40"/>
        <v>22894636.86272321</v>
      </c>
      <c r="AZ68" s="138">
        <f t="shared" si="41"/>
        <v>55</v>
      </c>
      <c r="BA68" s="138">
        <f t="shared" si="49"/>
        <v>3068449.7274376675</v>
      </c>
      <c r="BB68" s="138">
        <f t="shared" si="49"/>
        <v>22894636.86272321</v>
      </c>
      <c r="BC68" s="122"/>
      <c r="BD68" s="122"/>
      <c r="BE68" s="122"/>
      <c r="BF68" s="122"/>
      <c r="BG68" s="122"/>
      <c r="BH68" s="122"/>
      <c r="BI68" s="122"/>
      <c r="BJ68" s="122"/>
      <c r="BK68" s="122"/>
      <c r="BL68" s="145"/>
      <c r="BM68" s="145"/>
      <c r="BN68" s="145"/>
      <c r="BO68" s="145"/>
      <c r="BP68" s="145"/>
      <c r="BQ68" s="145"/>
      <c r="BR68" s="145"/>
      <c r="BS68" s="130">
        <v>54</v>
      </c>
      <c r="BT68" s="131">
        <f t="shared" si="42"/>
        <v>0.5</v>
      </c>
      <c r="BU68" s="138">
        <f>SUM(BT$15:BT68)*BU$13</f>
        <v>86400</v>
      </c>
      <c r="BV68" s="131">
        <f t="shared" si="43"/>
        <v>0.3333333333333333</v>
      </c>
      <c r="BW68" s="138">
        <f>SUM(BV$15:BV68)*BW$13</f>
        <v>81000.00000000001</v>
      </c>
      <c r="BX68" s="131"/>
      <c r="BY68" s="131"/>
      <c r="BZ68" s="131">
        <f t="shared" si="44"/>
        <v>0.1</v>
      </c>
      <c r="CA68" s="138">
        <f>SUM(BZ$15:BZ68)*CA$13</f>
        <v>408779.99999999977</v>
      </c>
      <c r="CB68" s="131">
        <f t="shared" si="45"/>
        <v>0.03571428571428571</v>
      </c>
      <c r="CC68" s="138">
        <f>SUM(CB$15:CB68)*CC$13</f>
        <v>212605.7142857145</v>
      </c>
      <c r="CD68" s="131">
        <f t="shared" si="46"/>
        <v>0.025</v>
      </c>
      <c r="CE68" s="138">
        <f>SUM(CD$15:CD68)*CE$13</f>
        <v>177749.9999999999</v>
      </c>
      <c r="CF68" s="131"/>
      <c r="CG68" s="131"/>
      <c r="CH68" s="130">
        <f t="shared" si="47"/>
        <v>54</v>
      </c>
      <c r="CI68" s="130">
        <f t="shared" si="48"/>
        <v>22478370.737946425</v>
      </c>
      <c r="CJ68" s="145"/>
      <c r="CK68" s="145"/>
      <c r="CL68" s="145"/>
      <c r="CM68" s="145"/>
      <c r="CN68" s="145"/>
      <c r="CO68" s="145"/>
      <c r="CP68" s="145"/>
      <c r="CQ68" s="145"/>
      <c r="CR68" s="145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22"/>
    </row>
    <row r="69" spans="1:108" ht="15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67"/>
      <c r="N69" s="34"/>
      <c r="O69" s="40"/>
      <c r="P69" s="116"/>
      <c r="Q69" s="116"/>
      <c r="R69" s="141"/>
      <c r="S69" s="142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1"/>
      <c r="AE69" s="121"/>
      <c r="AF69" s="121"/>
      <c r="AG69" s="122"/>
      <c r="AH69" s="134">
        <v>56</v>
      </c>
      <c r="AI69" s="130">
        <f t="shared" si="32"/>
        <v>640</v>
      </c>
      <c r="AJ69" s="138">
        <f>SUM(AI$14:AI69)</f>
        <v>35840</v>
      </c>
      <c r="AK69" s="131">
        <f t="shared" si="33"/>
        <v>0.2</v>
      </c>
      <c r="AL69" s="138">
        <f t="shared" si="34"/>
        <v>900</v>
      </c>
      <c r="AM69" s="134"/>
      <c r="AN69" s="134"/>
      <c r="AO69" s="134">
        <f t="shared" si="35"/>
        <v>0.05</v>
      </c>
      <c r="AP69" s="138">
        <f>SUM(AO$14:AO69)*AP$11</f>
        <v>211959.99999999985</v>
      </c>
      <c r="AQ69" s="131">
        <f t="shared" si="36"/>
        <v>0.025</v>
      </c>
      <c r="AR69" s="138">
        <f>SUM(AQ$14:AQ69)*AR$11</f>
        <v>154335.99999999988</v>
      </c>
      <c r="AS69" s="131">
        <f t="shared" si="37"/>
        <v>0.016666666666666666</v>
      </c>
      <c r="AT69" s="138">
        <f>SUM(AS$14:AS69)*AT$11</f>
        <v>234888.88888888923</v>
      </c>
      <c r="AU69" s="134"/>
      <c r="AV69" s="134"/>
      <c r="AW69" s="134">
        <f t="shared" si="38"/>
        <v>56</v>
      </c>
      <c r="AX69" s="138">
        <f t="shared" si="39"/>
        <v>2747842.448727201</v>
      </c>
      <c r="AY69" s="138">
        <f t="shared" si="40"/>
        <v>23310902.987499997</v>
      </c>
      <c r="AZ69" s="138">
        <f t="shared" si="41"/>
        <v>56</v>
      </c>
      <c r="BA69" s="138">
        <f t="shared" si="49"/>
        <v>3117449.1153938677</v>
      </c>
      <c r="BB69" s="138">
        <f t="shared" si="49"/>
        <v>23310902.987499997</v>
      </c>
      <c r="BC69" s="122"/>
      <c r="BD69" s="122"/>
      <c r="BE69" s="122"/>
      <c r="BF69" s="122"/>
      <c r="BG69" s="122"/>
      <c r="BH69" s="122"/>
      <c r="BI69" s="122"/>
      <c r="BJ69" s="122"/>
      <c r="BK69" s="122"/>
      <c r="BL69" s="145"/>
      <c r="BM69" s="145"/>
      <c r="BN69" s="145"/>
      <c r="BO69" s="145"/>
      <c r="BP69" s="145"/>
      <c r="BQ69" s="145"/>
      <c r="BR69" s="145"/>
      <c r="BS69" s="130">
        <v>55</v>
      </c>
      <c r="BT69" s="131">
        <f t="shared" si="42"/>
        <v>0.5</v>
      </c>
      <c r="BU69" s="138">
        <f>SUM(BT$15:BT69)*BU$13</f>
        <v>88000</v>
      </c>
      <c r="BV69" s="131">
        <f t="shared" si="43"/>
        <v>0.3333333333333333</v>
      </c>
      <c r="BW69" s="138">
        <f>SUM(BV$15:BV69)*BW$13</f>
        <v>82500.00000000001</v>
      </c>
      <c r="BX69" s="131"/>
      <c r="BY69" s="131"/>
      <c r="BZ69" s="131">
        <f t="shared" si="44"/>
        <v>0.1</v>
      </c>
      <c r="CA69" s="138">
        <f>SUM(BZ$15:BZ69)*CA$13</f>
        <v>416349.9999999997</v>
      </c>
      <c r="CB69" s="131">
        <f t="shared" si="45"/>
        <v>0.03571428571428571</v>
      </c>
      <c r="CC69" s="138">
        <f>SUM(CB$15:CB69)*CC$13</f>
        <v>216542.85714285733</v>
      </c>
      <c r="CD69" s="131">
        <f t="shared" si="46"/>
        <v>0.025</v>
      </c>
      <c r="CE69" s="138">
        <f>SUM(CD$15:CD69)*CE$13</f>
        <v>181041.66666666657</v>
      </c>
      <c r="CF69" s="131"/>
      <c r="CG69" s="131"/>
      <c r="CH69" s="130">
        <f t="shared" si="47"/>
        <v>55</v>
      </c>
      <c r="CI69" s="130">
        <f t="shared" si="48"/>
        <v>22894636.86272321</v>
      </c>
      <c r="CJ69" s="145"/>
      <c r="CK69" s="145"/>
      <c r="CL69" s="145"/>
      <c r="CM69" s="145"/>
      <c r="CN69" s="145"/>
      <c r="CO69" s="145"/>
      <c r="CP69" s="145"/>
      <c r="CQ69" s="145"/>
      <c r="CR69" s="145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</row>
    <row r="70" spans="1:108" ht="15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67"/>
      <c r="N70" s="34"/>
      <c r="O70" s="40"/>
      <c r="P70" s="116"/>
      <c r="Q70" s="116"/>
      <c r="R70" s="141"/>
      <c r="S70" s="142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1"/>
      <c r="AE70" s="121"/>
      <c r="AF70" s="121"/>
      <c r="AG70" s="122"/>
      <c r="AH70" s="134">
        <v>57</v>
      </c>
      <c r="AI70" s="130">
        <f t="shared" si="32"/>
        <v>640</v>
      </c>
      <c r="AJ70" s="138">
        <f>SUM(AI$14:AI70)</f>
        <v>36480</v>
      </c>
      <c r="AK70" s="131">
        <f t="shared" si="33"/>
        <v>0.2</v>
      </c>
      <c r="AL70" s="138">
        <f t="shared" si="34"/>
        <v>900</v>
      </c>
      <c r="AM70" s="134"/>
      <c r="AN70" s="134"/>
      <c r="AO70" s="134">
        <f t="shared" si="35"/>
        <v>0.05</v>
      </c>
      <c r="AP70" s="138">
        <f>SUM(AO$14:AO70)*AP$11</f>
        <v>215744.99999999983</v>
      </c>
      <c r="AQ70" s="131">
        <f t="shared" si="36"/>
        <v>0.025</v>
      </c>
      <c r="AR70" s="138">
        <f>SUM(AQ$14:AQ70)*AR$11</f>
        <v>157091.99999999985</v>
      </c>
      <c r="AS70" s="131">
        <f t="shared" si="37"/>
        <v>0.016666666666666666</v>
      </c>
      <c r="AT70" s="138">
        <f>SUM(AS$14:AS70)*AT$11</f>
        <v>239083.33333333366</v>
      </c>
      <c r="AU70" s="134"/>
      <c r="AV70" s="134"/>
      <c r="AW70" s="134">
        <f t="shared" si="38"/>
        <v>57</v>
      </c>
      <c r="AX70" s="138">
        <f t="shared" si="39"/>
        <v>2796841.8366834004</v>
      </c>
      <c r="AY70" s="138">
        <f t="shared" si="40"/>
        <v>23727169.112276778</v>
      </c>
      <c r="AZ70" s="138">
        <f t="shared" si="41"/>
        <v>57</v>
      </c>
      <c r="BA70" s="138">
        <f t="shared" si="49"/>
        <v>3166448.503350067</v>
      </c>
      <c r="BB70" s="138">
        <f t="shared" si="49"/>
        <v>23727169.112276778</v>
      </c>
      <c r="BC70" s="122"/>
      <c r="BD70" s="122"/>
      <c r="BE70" s="122"/>
      <c r="BF70" s="122"/>
      <c r="BG70" s="122"/>
      <c r="BH70" s="122"/>
      <c r="BI70" s="122"/>
      <c r="BJ70" s="122"/>
      <c r="BK70" s="122"/>
      <c r="BL70" s="145"/>
      <c r="BM70" s="145"/>
      <c r="BN70" s="145"/>
      <c r="BO70" s="145"/>
      <c r="BP70" s="145"/>
      <c r="BQ70" s="145"/>
      <c r="BR70" s="145"/>
      <c r="BS70" s="130">
        <v>56</v>
      </c>
      <c r="BT70" s="131">
        <f t="shared" si="42"/>
        <v>0.5</v>
      </c>
      <c r="BU70" s="138">
        <f>SUM(BT$15:BT70)*BU$13</f>
        <v>89600</v>
      </c>
      <c r="BV70" s="131">
        <f t="shared" si="43"/>
        <v>0.3333333333333333</v>
      </c>
      <c r="BW70" s="138">
        <f>SUM(BV$15:BV70)*BW$13</f>
        <v>84000</v>
      </c>
      <c r="BX70" s="131"/>
      <c r="BY70" s="131"/>
      <c r="BZ70" s="131">
        <f t="shared" si="44"/>
        <v>0.1</v>
      </c>
      <c r="CA70" s="138">
        <f>SUM(BZ$15:BZ70)*CA$13</f>
        <v>423919.9999999997</v>
      </c>
      <c r="CB70" s="131">
        <f t="shared" si="45"/>
        <v>0.03571428571428571</v>
      </c>
      <c r="CC70" s="138">
        <f>SUM(CB$15:CB70)*CC$13</f>
        <v>220480.0000000002</v>
      </c>
      <c r="CD70" s="131">
        <f t="shared" si="46"/>
        <v>0.025</v>
      </c>
      <c r="CE70" s="138">
        <f>SUM(CD$15:CD70)*CE$13</f>
        <v>184333.33333333323</v>
      </c>
      <c r="CF70" s="131"/>
      <c r="CG70" s="131"/>
      <c r="CH70" s="130">
        <f t="shared" si="47"/>
        <v>56</v>
      </c>
      <c r="CI70" s="130">
        <f t="shared" si="48"/>
        <v>23310902.987499997</v>
      </c>
      <c r="CJ70" s="145"/>
      <c r="CK70" s="145"/>
      <c r="CL70" s="145"/>
      <c r="CM70" s="145"/>
      <c r="CN70" s="145"/>
      <c r="CO70" s="145"/>
      <c r="CP70" s="145"/>
      <c r="CQ70" s="145"/>
      <c r="CR70" s="145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2"/>
    </row>
    <row r="71" spans="1:108" ht="15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67"/>
      <c r="N71" s="34"/>
      <c r="O71" s="40"/>
      <c r="P71" s="116"/>
      <c r="Q71" s="116"/>
      <c r="R71" s="141"/>
      <c r="S71" s="142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1"/>
      <c r="AE71" s="121"/>
      <c r="AF71" s="121"/>
      <c r="AG71" s="122"/>
      <c r="AH71" s="134">
        <v>58</v>
      </c>
      <c r="AI71" s="130">
        <f t="shared" si="32"/>
        <v>640</v>
      </c>
      <c r="AJ71" s="138">
        <f>SUM(AI$14:AI71)</f>
        <v>37120</v>
      </c>
      <c r="AK71" s="131">
        <f t="shared" si="33"/>
        <v>0.2</v>
      </c>
      <c r="AL71" s="138">
        <f t="shared" si="34"/>
        <v>900</v>
      </c>
      <c r="AM71" s="134"/>
      <c r="AN71" s="134"/>
      <c r="AO71" s="134">
        <f t="shared" si="35"/>
        <v>0.05</v>
      </c>
      <c r="AP71" s="138">
        <f>SUM(AO$14:AO71)*AP$11</f>
        <v>219529.99999999983</v>
      </c>
      <c r="AQ71" s="131">
        <f t="shared" si="36"/>
        <v>0.025</v>
      </c>
      <c r="AR71" s="138">
        <f>SUM(AQ$14:AQ71)*AR$11</f>
        <v>159847.99999999985</v>
      </c>
      <c r="AS71" s="131">
        <f t="shared" si="37"/>
        <v>0.016666666666666666</v>
      </c>
      <c r="AT71" s="138">
        <f>SUM(AS$14:AS71)*AT$11</f>
        <v>243277.77777777813</v>
      </c>
      <c r="AU71" s="134"/>
      <c r="AV71" s="134"/>
      <c r="AW71" s="134">
        <f t="shared" si="38"/>
        <v>58</v>
      </c>
      <c r="AX71" s="138">
        <f t="shared" si="39"/>
        <v>2845841.2246396006</v>
      </c>
      <c r="AY71" s="138">
        <f t="shared" si="40"/>
        <v>24143435.237053562</v>
      </c>
      <c r="AZ71" s="138">
        <f t="shared" si="41"/>
        <v>58</v>
      </c>
      <c r="BA71" s="138">
        <f t="shared" si="49"/>
        <v>3215447.891306267</v>
      </c>
      <c r="BB71" s="138">
        <f t="shared" si="49"/>
        <v>24143435.237053562</v>
      </c>
      <c r="BC71" s="122"/>
      <c r="BD71" s="122"/>
      <c r="BE71" s="122"/>
      <c r="BF71" s="122"/>
      <c r="BG71" s="122"/>
      <c r="BH71" s="122"/>
      <c r="BI71" s="122"/>
      <c r="BJ71" s="122"/>
      <c r="BK71" s="122"/>
      <c r="BL71" s="145"/>
      <c r="BM71" s="145"/>
      <c r="BN71" s="145"/>
      <c r="BO71" s="145"/>
      <c r="BP71" s="145"/>
      <c r="BQ71" s="145"/>
      <c r="BR71" s="145"/>
      <c r="BS71" s="130">
        <v>57</v>
      </c>
      <c r="BT71" s="131">
        <f t="shared" si="42"/>
        <v>0.5</v>
      </c>
      <c r="BU71" s="138">
        <f>SUM(BT$15:BT71)*BU$13</f>
        <v>91200</v>
      </c>
      <c r="BV71" s="131">
        <f t="shared" si="43"/>
        <v>0.3333333333333333</v>
      </c>
      <c r="BW71" s="138">
        <f>SUM(BV$15:BV71)*BW$13</f>
        <v>85500</v>
      </c>
      <c r="BX71" s="131"/>
      <c r="BY71" s="131"/>
      <c r="BZ71" s="131">
        <f t="shared" si="44"/>
        <v>0.1</v>
      </c>
      <c r="CA71" s="138">
        <f>SUM(BZ$15:BZ71)*CA$13</f>
        <v>431489.99999999965</v>
      </c>
      <c r="CB71" s="131">
        <f t="shared" si="45"/>
        <v>0.03571428571428571</v>
      </c>
      <c r="CC71" s="138">
        <f>SUM(CB$15:CB71)*CC$13</f>
        <v>224417.14285714304</v>
      </c>
      <c r="CD71" s="131">
        <f t="shared" si="46"/>
        <v>0.025</v>
      </c>
      <c r="CE71" s="138">
        <f>SUM(CD$15:CD71)*CE$13</f>
        <v>187624.99999999988</v>
      </c>
      <c r="CF71" s="131"/>
      <c r="CG71" s="131"/>
      <c r="CH71" s="130">
        <f t="shared" si="47"/>
        <v>57</v>
      </c>
      <c r="CI71" s="130">
        <f t="shared" si="48"/>
        <v>23727169.112276778</v>
      </c>
      <c r="CJ71" s="145"/>
      <c r="CK71" s="145"/>
      <c r="CL71" s="145"/>
      <c r="CM71" s="145"/>
      <c r="CN71" s="145"/>
      <c r="CO71" s="145"/>
      <c r="CP71" s="145"/>
      <c r="CQ71" s="145"/>
      <c r="CR71" s="145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22"/>
    </row>
    <row r="72" spans="1:108" ht="15.75">
      <c r="A72" s="44"/>
      <c r="B72" s="44"/>
      <c r="C72" s="45"/>
      <c r="D72" s="44"/>
      <c r="E72" s="44"/>
      <c r="F72" s="44"/>
      <c r="G72" s="44"/>
      <c r="H72" s="44"/>
      <c r="I72" s="46"/>
      <c r="J72" s="44"/>
      <c r="K72" s="44"/>
      <c r="L72" s="44"/>
      <c r="M72" s="67"/>
      <c r="N72" s="34"/>
      <c r="O72" s="40"/>
      <c r="P72" s="116"/>
      <c r="Q72" s="116"/>
      <c r="R72" s="141"/>
      <c r="S72" s="142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1"/>
      <c r="AE72" s="121"/>
      <c r="AF72" s="121"/>
      <c r="AG72" s="122"/>
      <c r="AH72" s="134">
        <v>59</v>
      </c>
      <c r="AI72" s="130">
        <f t="shared" si="32"/>
        <v>640</v>
      </c>
      <c r="AJ72" s="138">
        <f>SUM(AI$14:AI72)</f>
        <v>37760</v>
      </c>
      <c r="AK72" s="131">
        <f t="shared" si="33"/>
        <v>0.2</v>
      </c>
      <c r="AL72" s="138">
        <f t="shared" si="34"/>
        <v>900</v>
      </c>
      <c r="AM72" s="134"/>
      <c r="AN72" s="134"/>
      <c r="AO72" s="134">
        <f t="shared" si="35"/>
        <v>0.05</v>
      </c>
      <c r="AP72" s="138">
        <f>SUM(AO$14:AO72)*AP$11</f>
        <v>223314.99999999983</v>
      </c>
      <c r="AQ72" s="131">
        <f t="shared" si="36"/>
        <v>0.025</v>
      </c>
      <c r="AR72" s="138">
        <f>SUM(AQ$14:AQ72)*AR$11</f>
        <v>162603.99999999985</v>
      </c>
      <c r="AS72" s="131">
        <f t="shared" si="37"/>
        <v>0.016666666666666666</v>
      </c>
      <c r="AT72" s="138">
        <f>SUM(AS$14:AS72)*AT$11</f>
        <v>247472.2222222226</v>
      </c>
      <c r="AU72" s="134"/>
      <c r="AV72" s="134"/>
      <c r="AW72" s="134">
        <f t="shared" si="38"/>
        <v>59</v>
      </c>
      <c r="AX72" s="138">
        <f t="shared" si="39"/>
        <v>2894840.612595801</v>
      </c>
      <c r="AY72" s="138">
        <f t="shared" si="40"/>
        <v>24559701.36183035</v>
      </c>
      <c r="AZ72" s="138">
        <f t="shared" si="41"/>
        <v>59</v>
      </c>
      <c r="BA72" s="138">
        <f t="shared" si="49"/>
        <v>3264447.2792624673</v>
      </c>
      <c r="BB72" s="138">
        <f t="shared" si="49"/>
        <v>24559701.36183035</v>
      </c>
      <c r="BC72" s="122"/>
      <c r="BD72" s="122"/>
      <c r="BE72" s="122"/>
      <c r="BF72" s="122"/>
      <c r="BG72" s="122"/>
      <c r="BH72" s="122"/>
      <c r="BI72" s="122"/>
      <c r="BJ72" s="122"/>
      <c r="BK72" s="122"/>
      <c r="BL72" s="145"/>
      <c r="BM72" s="145"/>
      <c r="BN72" s="145"/>
      <c r="BO72" s="145"/>
      <c r="BP72" s="145"/>
      <c r="BQ72" s="145"/>
      <c r="BR72" s="145"/>
      <c r="BS72" s="130">
        <v>58</v>
      </c>
      <c r="BT72" s="131">
        <f t="shared" si="42"/>
        <v>0.5</v>
      </c>
      <c r="BU72" s="138">
        <f>SUM(BT$15:BT72)*BU$13</f>
        <v>92800</v>
      </c>
      <c r="BV72" s="131">
        <f t="shared" si="43"/>
        <v>0.3333333333333333</v>
      </c>
      <c r="BW72" s="138">
        <f>SUM(BV$15:BV72)*BW$13</f>
        <v>87000</v>
      </c>
      <c r="BX72" s="131"/>
      <c r="BY72" s="131"/>
      <c r="BZ72" s="131">
        <f t="shared" si="44"/>
        <v>0.1</v>
      </c>
      <c r="CA72" s="138">
        <f>SUM(BZ$15:BZ72)*CA$13</f>
        <v>439059.99999999965</v>
      </c>
      <c r="CB72" s="131">
        <f t="shared" si="45"/>
        <v>0.03571428571428571</v>
      </c>
      <c r="CC72" s="138">
        <f>SUM(CB$15:CB72)*CC$13</f>
        <v>228354.2857142859</v>
      </c>
      <c r="CD72" s="131">
        <f t="shared" si="46"/>
        <v>0.025</v>
      </c>
      <c r="CE72" s="138">
        <f>SUM(CD$15:CD72)*CE$13</f>
        <v>190916.66666666654</v>
      </c>
      <c r="CF72" s="131"/>
      <c r="CG72" s="131"/>
      <c r="CH72" s="130">
        <f t="shared" si="47"/>
        <v>58</v>
      </c>
      <c r="CI72" s="130">
        <f t="shared" si="48"/>
        <v>24143435.237053562</v>
      </c>
      <c r="CJ72" s="145"/>
      <c r="CK72" s="145"/>
      <c r="CL72" s="145"/>
      <c r="CM72" s="145"/>
      <c r="CN72" s="145"/>
      <c r="CO72" s="145"/>
      <c r="CP72" s="145"/>
      <c r="CQ72" s="145"/>
      <c r="CR72" s="145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</row>
    <row r="73" spans="1:108" ht="15.75">
      <c r="A73" s="44"/>
      <c r="B73" s="44"/>
      <c r="C73" s="45"/>
      <c r="D73" s="44"/>
      <c r="E73" s="44"/>
      <c r="F73" s="44"/>
      <c r="G73" s="44"/>
      <c r="H73" s="44"/>
      <c r="I73" s="46"/>
      <c r="J73" s="44"/>
      <c r="K73" s="44"/>
      <c r="L73" s="44"/>
      <c r="M73" s="67"/>
      <c r="N73" s="34"/>
      <c r="O73" s="40"/>
      <c r="P73" s="116"/>
      <c r="Q73" s="116"/>
      <c r="R73" s="141"/>
      <c r="S73" s="142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1"/>
      <c r="AE73" s="121"/>
      <c r="AF73" s="121"/>
      <c r="AG73" s="122"/>
      <c r="AH73" s="134">
        <v>60</v>
      </c>
      <c r="AI73" s="130">
        <f t="shared" si="32"/>
        <v>640</v>
      </c>
      <c r="AJ73" s="138">
        <f>SUM(AI$14:AI73)</f>
        <v>38400</v>
      </c>
      <c r="AK73" s="131">
        <f t="shared" si="33"/>
        <v>0.2</v>
      </c>
      <c r="AL73" s="138">
        <f t="shared" si="34"/>
        <v>900</v>
      </c>
      <c r="AM73" s="134"/>
      <c r="AN73" s="134"/>
      <c r="AO73" s="134">
        <f t="shared" si="35"/>
        <v>0.05</v>
      </c>
      <c r="AP73" s="138">
        <f>SUM(AO$14:AO73)*AP$11</f>
        <v>227099.9999999998</v>
      </c>
      <c r="AQ73" s="131">
        <f t="shared" si="36"/>
        <v>0.025</v>
      </c>
      <c r="AR73" s="138">
        <f>SUM(AQ$14:AQ73)*AR$11</f>
        <v>165359.99999999983</v>
      </c>
      <c r="AS73" s="131">
        <f t="shared" si="37"/>
        <v>0.016666666666666666</v>
      </c>
      <c r="AT73" s="138">
        <f>SUM(AS$14:AS73)*AT$11</f>
        <v>251666.66666666704</v>
      </c>
      <c r="AU73" s="134"/>
      <c r="AV73" s="134"/>
      <c r="AW73" s="134">
        <f t="shared" si="38"/>
        <v>60</v>
      </c>
      <c r="AX73" s="138">
        <f t="shared" si="39"/>
        <v>2943840.000552</v>
      </c>
      <c r="AY73" s="138">
        <f t="shared" si="40"/>
        <v>24975967.48660713</v>
      </c>
      <c r="AZ73" s="138">
        <f t="shared" si="41"/>
        <v>60</v>
      </c>
      <c r="BA73" s="138">
        <f t="shared" si="49"/>
        <v>3313446.6672186665</v>
      </c>
      <c r="BB73" s="138">
        <f t="shared" si="49"/>
        <v>24975967.48660713</v>
      </c>
      <c r="BC73" s="122"/>
      <c r="BD73" s="122"/>
      <c r="BE73" s="122"/>
      <c r="BF73" s="122"/>
      <c r="BG73" s="122"/>
      <c r="BH73" s="122"/>
      <c r="BI73" s="122"/>
      <c r="BJ73" s="122"/>
      <c r="BK73" s="122"/>
      <c r="BL73" s="145"/>
      <c r="BM73" s="145"/>
      <c r="BN73" s="145"/>
      <c r="BO73" s="145"/>
      <c r="BP73" s="145"/>
      <c r="BQ73" s="145"/>
      <c r="BR73" s="145"/>
      <c r="BS73" s="130">
        <v>59</v>
      </c>
      <c r="BT73" s="131">
        <f t="shared" si="42"/>
        <v>0.5</v>
      </c>
      <c r="BU73" s="138">
        <f>SUM(BT$15:BT73)*BU$13</f>
        <v>94400</v>
      </c>
      <c r="BV73" s="131">
        <f t="shared" si="43"/>
        <v>0.3333333333333333</v>
      </c>
      <c r="BW73" s="138">
        <f>SUM(BV$15:BV73)*BW$13</f>
        <v>88499.99999999999</v>
      </c>
      <c r="BX73" s="131"/>
      <c r="BY73" s="131"/>
      <c r="BZ73" s="131">
        <f t="shared" si="44"/>
        <v>0.1</v>
      </c>
      <c r="CA73" s="138">
        <f>SUM(BZ$15:BZ73)*CA$13</f>
        <v>446629.99999999965</v>
      </c>
      <c r="CB73" s="131">
        <f t="shared" si="45"/>
        <v>0.03571428571428571</v>
      </c>
      <c r="CC73" s="138">
        <f>SUM(CB$15:CB73)*CC$13</f>
        <v>232291.42857142875</v>
      </c>
      <c r="CD73" s="131">
        <f t="shared" si="46"/>
        <v>0.025</v>
      </c>
      <c r="CE73" s="138">
        <f>SUM(CD$15:CD73)*CE$13</f>
        <v>194208.3333333332</v>
      </c>
      <c r="CF73" s="131"/>
      <c r="CG73" s="131"/>
      <c r="CH73" s="130">
        <f t="shared" si="47"/>
        <v>59</v>
      </c>
      <c r="CI73" s="130">
        <f t="shared" si="48"/>
        <v>24559701.36183035</v>
      </c>
      <c r="CJ73" s="145"/>
      <c r="CK73" s="145"/>
      <c r="CL73" s="145"/>
      <c r="CM73" s="145"/>
      <c r="CN73" s="145"/>
      <c r="CO73" s="145"/>
      <c r="CP73" s="145"/>
      <c r="CQ73" s="145"/>
      <c r="CR73" s="145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</row>
    <row r="74" spans="13:108" ht="15.75">
      <c r="M74" s="4"/>
      <c r="N74" s="34"/>
      <c r="O74" s="40"/>
      <c r="P74" s="116"/>
      <c r="Q74" s="116"/>
      <c r="R74" s="141"/>
      <c r="S74" s="142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1"/>
      <c r="AE74" s="121"/>
      <c r="AF74" s="121"/>
      <c r="AG74" s="122"/>
      <c r="AH74" s="134">
        <v>61</v>
      </c>
      <c r="AI74" s="130">
        <f t="shared" si="32"/>
        <v>640</v>
      </c>
      <c r="AJ74" s="138">
        <f>SUM(AI$14:AI74)</f>
        <v>39040</v>
      </c>
      <c r="AK74" s="131">
        <f t="shared" si="33"/>
        <v>0.2</v>
      </c>
      <c r="AL74" s="138">
        <f t="shared" si="34"/>
        <v>900</v>
      </c>
      <c r="AM74" s="134"/>
      <c r="AN74" s="134"/>
      <c r="AO74" s="134">
        <f t="shared" si="35"/>
        <v>0.05</v>
      </c>
      <c r="AP74" s="138">
        <f>SUM(AO$14:AO74)*AP$11</f>
        <v>230884.9999999998</v>
      </c>
      <c r="AQ74" s="131">
        <f t="shared" si="36"/>
        <v>0.025</v>
      </c>
      <c r="AR74" s="138">
        <f>SUM(AQ$14:AQ74)*AR$11</f>
        <v>168115.99999999983</v>
      </c>
      <c r="AS74" s="131">
        <f t="shared" si="37"/>
        <v>0.016666666666666666</v>
      </c>
      <c r="AT74" s="138">
        <f>SUM(AS$14:AS74)*AT$11</f>
        <v>255861.11111111144</v>
      </c>
      <c r="AU74" s="134"/>
      <c r="AV74" s="134"/>
      <c r="AW74" s="134">
        <f t="shared" si="38"/>
        <v>61</v>
      </c>
      <c r="AX74" s="138">
        <f t="shared" si="39"/>
        <v>2992839.3885082</v>
      </c>
      <c r="AY74" s="138">
        <f t="shared" si="40"/>
        <v>0</v>
      </c>
      <c r="AZ74" s="138"/>
      <c r="BA74" s="138"/>
      <c r="BB74" s="138"/>
      <c r="BC74" s="122"/>
      <c r="BD74" s="122"/>
      <c r="BE74" s="122"/>
      <c r="BF74" s="122"/>
      <c r="BG74" s="122"/>
      <c r="BH74" s="122"/>
      <c r="BI74" s="122"/>
      <c r="BJ74" s="122"/>
      <c r="BK74" s="122"/>
      <c r="BL74" s="145"/>
      <c r="BM74" s="145"/>
      <c r="BN74" s="145"/>
      <c r="BO74" s="145"/>
      <c r="BP74" s="145"/>
      <c r="BQ74" s="145"/>
      <c r="BR74" s="145"/>
      <c r="BS74" s="130">
        <v>60</v>
      </c>
      <c r="BT74" s="131">
        <f t="shared" si="42"/>
        <v>0.5</v>
      </c>
      <c r="BU74" s="138">
        <f>SUM(BT$15:BT74)*BU$13</f>
        <v>96000</v>
      </c>
      <c r="BV74" s="131">
        <f t="shared" si="43"/>
        <v>0.3333333333333333</v>
      </c>
      <c r="BW74" s="138">
        <f>SUM(BV$15:BV74)*BW$13</f>
        <v>89999.99999999999</v>
      </c>
      <c r="BX74" s="131"/>
      <c r="BY74" s="131"/>
      <c r="BZ74" s="131">
        <f t="shared" si="44"/>
        <v>0.1</v>
      </c>
      <c r="CA74" s="138">
        <f>SUM(BZ$15:BZ74)*CA$13</f>
        <v>454199.9999999996</v>
      </c>
      <c r="CB74" s="131">
        <f t="shared" si="45"/>
        <v>0.03571428571428571</v>
      </c>
      <c r="CC74" s="138">
        <f>SUM(CB$15:CB74)*CC$13</f>
        <v>236228.5714285716</v>
      </c>
      <c r="CD74" s="131">
        <f t="shared" si="46"/>
        <v>0.025</v>
      </c>
      <c r="CE74" s="138">
        <f>SUM(CD$15:CD74)*CE$13</f>
        <v>197499.99999999985</v>
      </c>
      <c r="CF74" s="131"/>
      <c r="CG74" s="131"/>
      <c r="CH74" s="130">
        <f t="shared" si="47"/>
        <v>60</v>
      </c>
      <c r="CI74" s="130">
        <f t="shared" si="48"/>
        <v>24975967.48660713</v>
      </c>
      <c r="CJ74" s="145"/>
      <c r="CK74" s="145"/>
      <c r="CL74" s="145"/>
      <c r="CM74" s="145"/>
      <c r="CN74" s="145"/>
      <c r="CO74" s="145"/>
      <c r="CP74" s="145"/>
      <c r="CQ74" s="145"/>
      <c r="CR74" s="145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2"/>
    </row>
    <row r="75" spans="13:108" ht="15.75">
      <c r="M75" s="4"/>
      <c r="N75" s="34"/>
      <c r="O75" s="40"/>
      <c r="P75" s="116"/>
      <c r="Q75" s="116"/>
      <c r="R75" s="141"/>
      <c r="S75" s="142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1"/>
      <c r="AE75" s="121"/>
      <c r="AF75" s="121"/>
      <c r="AG75" s="122"/>
      <c r="AH75" s="134">
        <v>62</v>
      </c>
      <c r="AI75" s="130">
        <f t="shared" si="32"/>
        <v>640</v>
      </c>
      <c r="AJ75" s="138">
        <f>SUM(AI$14:AI75)</f>
        <v>39680</v>
      </c>
      <c r="AK75" s="131">
        <f t="shared" si="33"/>
        <v>0.2</v>
      </c>
      <c r="AL75" s="138">
        <f t="shared" si="34"/>
        <v>900</v>
      </c>
      <c r="AM75" s="134"/>
      <c r="AN75" s="134"/>
      <c r="AO75" s="134">
        <f t="shared" si="35"/>
        <v>0.05</v>
      </c>
      <c r="AP75" s="138">
        <f>SUM(AO$14:AO75)*AP$11</f>
        <v>234669.99999999977</v>
      </c>
      <c r="AQ75" s="131">
        <f t="shared" si="36"/>
        <v>0.025</v>
      </c>
      <c r="AR75" s="138">
        <f>SUM(AQ$14:AQ75)*AR$11</f>
        <v>170871.99999999983</v>
      </c>
      <c r="AS75" s="131">
        <f t="shared" si="37"/>
        <v>0.016666666666666666</v>
      </c>
      <c r="AT75" s="138">
        <f>SUM(AS$14:AS75)*AT$11</f>
        <v>260055.55555555588</v>
      </c>
      <c r="AU75" s="134"/>
      <c r="AV75" s="134"/>
      <c r="AW75" s="134">
        <f t="shared" si="38"/>
        <v>62</v>
      </c>
      <c r="AX75" s="138">
        <f t="shared" si="39"/>
        <v>3041838.7764644003</v>
      </c>
      <c r="AY75" s="138">
        <f t="shared" si="40"/>
        <v>0</v>
      </c>
      <c r="AZ75" s="138"/>
      <c r="BA75" s="138"/>
      <c r="BB75" s="138"/>
      <c r="BC75" s="122"/>
      <c r="BD75" s="122"/>
      <c r="BE75" s="122"/>
      <c r="BF75" s="122"/>
      <c r="BG75" s="122"/>
      <c r="BH75" s="122"/>
      <c r="BI75" s="122"/>
      <c r="BJ75" s="122"/>
      <c r="BK75" s="122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</row>
    <row r="76" spans="13:108" ht="15.75">
      <c r="M76" s="4"/>
      <c r="N76" s="34"/>
      <c r="O76" s="40"/>
      <c r="P76" s="116"/>
      <c r="Q76" s="116"/>
      <c r="R76" s="141"/>
      <c r="S76" s="142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1"/>
      <c r="AE76" s="121"/>
      <c r="AF76" s="121"/>
      <c r="AG76" s="122"/>
      <c r="AH76" s="134">
        <v>63</v>
      </c>
      <c r="AI76" s="130">
        <f t="shared" si="32"/>
        <v>640</v>
      </c>
      <c r="AJ76" s="138">
        <f>SUM(AI$14:AI76)</f>
        <v>40320</v>
      </c>
      <c r="AK76" s="131">
        <f t="shared" si="33"/>
        <v>0.2</v>
      </c>
      <c r="AL76" s="138">
        <f t="shared" si="34"/>
        <v>900</v>
      </c>
      <c r="AM76" s="134"/>
      <c r="AN76" s="134"/>
      <c r="AO76" s="134">
        <f t="shared" si="35"/>
        <v>0.05</v>
      </c>
      <c r="AP76" s="138">
        <f>SUM(AO$14:AO76)*AP$11</f>
        <v>238454.99999999977</v>
      </c>
      <c r="AQ76" s="131">
        <f t="shared" si="36"/>
        <v>0.025</v>
      </c>
      <c r="AR76" s="138">
        <f>SUM(AQ$14:AQ76)*AR$11</f>
        <v>173627.9999999998</v>
      </c>
      <c r="AS76" s="131">
        <f t="shared" si="37"/>
        <v>0.016666666666666666</v>
      </c>
      <c r="AT76" s="138">
        <f>SUM(AS$14:AS76)*AT$11</f>
        <v>264250.0000000003</v>
      </c>
      <c r="AU76" s="134"/>
      <c r="AV76" s="134"/>
      <c r="AW76" s="134">
        <f t="shared" si="38"/>
        <v>63</v>
      </c>
      <c r="AX76" s="138">
        <f t="shared" si="39"/>
        <v>3090838.1644205996</v>
      </c>
      <c r="AY76" s="138">
        <f t="shared" si="40"/>
        <v>0</v>
      </c>
      <c r="AZ76" s="138"/>
      <c r="BA76" s="138"/>
      <c r="BB76" s="138"/>
      <c r="BC76" s="122"/>
      <c r="BD76" s="122"/>
      <c r="BE76" s="122"/>
      <c r="BF76" s="122"/>
      <c r="BG76" s="122"/>
      <c r="BH76" s="122"/>
      <c r="BI76" s="122"/>
      <c r="BJ76" s="122"/>
      <c r="BK76" s="122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</row>
    <row r="77" spans="16:108" ht="15.75">
      <c r="P77" s="116"/>
      <c r="Q77" s="116"/>
      <c r="R77" s="143"/>
      <c r="S77" s="144"/>
      <c r="T77" s="119"/>
      <c r="U77" s="119"/>
      <c r="V77" s="119"/>
      <c r="W77" s="119"/>
      <c r="X77" s="119"/>
      <c r="Y77" s="119"/>
      <c r="Z77" s="119"/>
      <c r="AA77" s="119"/>
      <c r="AB77" s="119"/>
      <c r="AC77" s="120"/>
      <c r="AD77" s="121"/>
      <c r="AE77" s="121"/>
      <c r="AF77" s="121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</row>
    <row r="78" spans="16:108" ht="15.75">
      <c r="P78" s="116"/>
      <c r="Q78" s="116"/>
      <c r="R78" s="143"/>
      <c r="S78" s="144"/>
      <c r="T78" s="119"/>
      <c r="U78" s="119"/>
      <c r="V78" s="119"/>
      <c r="W78" s="119"/>
      <c r="X78" s="119"/>
      <c r="Y78" s="119"/>
      <c r="Z78" s="119"/>
      <c r="AA78" s="119"/>
      <c r="AB78" s="119"/>
      <c r="AC78" s="120"/>
      <c r="AD78" s="121"/>
      <c r="AE78" s="121"/>
      <c r="AF78" s="121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2"/>
    </row>
    <row r="79" spans="16:108" ht="15.75">
      <c r="P79" s="116"/>
      <c r="Q79" s="116"/>
      <c r="R79" s="143"/>
      <c r="S79" s="144"/>
      <c r="T79" s="119"/>
      <c r="U79" s="119"/>
      <c r="V79" s="119"/>
      <c r="W79" s="119"/>
      <c r="X79" s="119"/>
      <c r="Y79" s="119"/>
      <c r="Z79" s="119"/>
      <c r="AA79" s="119"/>
      <c r="AB79" s="119"/>
      <c r="AC79" s="120"/>
      <c r="AD79" s="121"/>
      <c r="AE79" s="121"/>
      <c r="AF79" s="121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</row>
    <row r="80" spans="16:108" ht="15.75">
      <c r="P80" s="116"/>
      <c r="Q80" s="116"/>
      <c r="R80" s="143"/>
      <c r="S80" s="144"/>
      <c r="T80" s="119"/>
      <c r="U80" s="119"/>
      <c r="V80" s="119"/>
      <c r="W80" s="119"/>
      <c r="X80" s="119"/>
      <c r="Y80" s="119"/>
      <c r="Z80" s="119"/>
      <c r="AA80" s="119"/>
      <c r="AB80" s="119"/>
      <c r="AC80" s="120"/>
      <c r="AD80" s="121"/>
      <c r="AE80" s="121"/>
      <c r="AF80" s="121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2"/>
    </row>
    <row r="81" spans="16:108" ht="15.75">
      <c r="P81" s="116"/>
      <c r="Q81" s="116"/>
      <c r="R81" s="143"/>
      <c r="S81" s="144"/>
      <c r="T81" s="119"/>
      <c r="U81" s="119"/>
      <c r="V81" s="119"/>
      <c r="W81" s="119"/>
      <c r="X81" s="119"/>
      <c r="Y81" s="119"/>
      <c r="Z81" s="119"/>
      <c r="AA81" s="119"/>
      <c r="AB81" s="119"/>
      <c r="AC81" s="120"/>
      <c r="AD81" s="121"/>
      <c r="AE81" s="121"/>
      <c r="AF81" s="121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</row>
    <row r="82" spans="16:108" ht="15.75">
      <c r="P82" s="116"/>
      <c r="Q82" s="116"/>
      <c r="R82" s="143"/>
      <c r="S82" s="144"/>
      <c r="T82" s="119"/>
      <c r="U82" s="119"/>
      <c r="V82" s="119"/>
      <c r="W82" s="119"/>
      <c r="X82" s="119"/>
      <c r="Y82" s="119"/>
      <c r="Z82" s="119"/>
      <c r="AA82" s="119"/>
      <c r="AB82" s="119"/>
      <c r="AC82" s="120"/>
      <c r="AD82" s="121"/>
      <c r="AE82" s="121"/>
      <c r="AF82" s="121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</row>
    <row r="83" spans="16:108" ht="15.75">
      <c r="P83" s="116"/>
      <c r="Q83" s="116"/>
      <c r="R83" s="143"/>
      <c r="S83" s="144"/>
      <c r="T83" s="119"/>
      <c r="U83" s="119"/>
      <c r="V83" s="119"/>
      <c r="W83" s="119"/>
      <c r="X83" s="119"/>
      <c r="Y83" s="119"/>
      <c r="Z83" s="119"/>
      <c r="AA83" s="119"/>
      <c r="AB83" s="119"/>
      <c r="AC83" s="120"/>
      <c r="AD83" s="121"/>
      <c r="AE83" s="121"/>
      <c r="AF83" s="121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</row>
    <row r="84" spans="16:108" ht="15.75">
      <c r="P84" s="116"/>
      <c r="Q84" s="116"/>
      <c r="R84" s="143"/>
      <c r="S84" s="144"/>
      <c r="T84" s="119"/>
      <c r="U84" s="119"/>
      <c r="V84" s="119"/>
      <c r="W84" s="119"/>
      <c r="X84" s="119"/>
      <c r="Y84" s="119"/>
      <c r="Z84" s="119"/>
      <c r="AA84" s="119"/>
      <c r="AB84" s="119"/>
      <c r="AC84" s="120"/>
      <c r="AD84" s="121"/>
      <c r="AE84" s="121"/>
      <c r="AF84" s="121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2"/>
      <c r="CP84" s="122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2"/>
    </row>
    <row r="85" spans="16:108" ht="15.75">
      <c r="P85" s="116"/>
      <c r="Q85" s="116"/>
      <c r="R85" s="143"/>
      <c r="S85" s="144"/>
      <c r="T85" s="119"/>
      <c r="U85" s="119"/>
      <c r="V85" s="119"/>
      <c r="W85" s="119"/>
      <c r="X85" s="119"/>
      <c r="Y85" s="119"/>
      <c r="Z85" s="119"/>
      <c r="AA85" s="119"/>
      <c r="AB85" s="119"/>
      <c r="AC85" s="120"/>
      <c r="AD85" s="121"/>
      <c r="AE85" s="121"/>
      <c r="AF85" s="121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</row>
    <row r="86" spans="16:108" ht="15.75">
      <c r="P86" s="116"/>
      <c r="Q86" s="116"/>
      <c r="R86" s="143"/>
      <c r="S86" s="144"/>
      <c r="T86" s="119"/>
      <c r="U86" s="119"/>
      <c r="V86" s="119"/>
      <c r="W86" s="119"/>
      <c r="X86" s="119"/>
      <c r="Y86" s="119"/>
      <c r="Z86" s="119"/>
      <c r="AA86" s="119"/>
      <c r="AB86" s="119"/>
      <c r="AC86" s="120"/>
      <c r="AD86" s="121"/>
      <c r="AE86" s="121"/>
      <c r="AF86" s="121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</row>
    <row r="87" spans="16:108" ht="15.75">
      <c r="P87" s="116"/>
      <c r="Q87" s="116"/>
      <c r="R87" s="143"/>
      <c r="S87" s="144"/>
      <c r="T87" s="119"/>
      <c r="U87" s="119"/>
      <c r="V87" s="119"/>
      <c r="W87" s="119"/>
      <c r="X87" s="119"/>
      <c r="Y87" s="119"/>
      <c r="Z87" s="119"/>
      <c r="AA87" s="119"/>
      <c r="AB87" s="119"/>
      <c r="AC87" s="120"/>
      <c r="AD87" s="121"/>
      <c r="AE87" s="121"/>
      <c r="AF87" s="121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2"/>
      <c r="CP87" s="122"/>
      <c r="CQ87" s="122"/>
      <c r="CR87" s="122"/>
      <c r="CS87" s="122"/>
      <c r="CT87" s="122"/>
      <c r="CU87" s="122"/>
      <c r="CV87" s="122"/>
      <c r="CW87" s="122"/>
      <c r="CX87" s="122"/>
      <c r="CY87" s="122"/>
      <c r="CZ87" s="122"/>
      <c r="DA87" s="122"/>
      <c r="DB87" s="122"/>
      <c r="DC87" s="122"/>
      <c r="DD87" s="122"/>
    </row>
    <row r="88" spans="16:108" ht="15.75">
      <c r="P88" s="116"/>
      <c r="Q88" s="116"/>
      <c r="R88" s="143"/>
      <c r="S88" s="144"/>
      <c r="T88" s="119"/>
      <c r="U88" s="119"/>
      <c r="V88" s="119"/>
      <c r="W88" s="119"/>
      <c r="X88" s="119"/>
      <c r="Y88" s="119"/>
      <c r="Z88" s="119"/>
      <c r="AA88" s="119"/>
      <c r="AB88" s="119"/>
      <c r="AC88" s="120"/>
      <c r="AD88" s="121"/>
      <c r="AE88" s="121"/>
      <c r="AF88" s="121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2"/>
    </row>
    <row r="89" spans="16:108" ht="15.75">
      <c r="P89" s="116"/>
      <c r="Q89" s="116"/>
      <c r="R89" s="143"/>
      <c r="S89" s="144"/>
      <c r="T89" s="119"/>
      <c r="U89" s="119"/>
      <c r="V89" s="119"/>
      <c r="W89" s="119"/>
      <c r="X89" s="119"/>
      <c r="Y89" s="119"/>
      <c r="Z89" s="119"/>
      <c r="AA89" s="119"/>
      <c r="AB89" s="119"/>
      <c r="AC89" s="120"/>
      <c r="AD89" s="121"/>
      <c r="AE89" s="121"/>
      <c r="AF89" s="121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2"/>
      <c r="CP89" s="122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2"/>
    </row>
    <row r="90" spans="16:108" ht="15.75">
      <c r="P90" s="116"/>
      <c r="Q90" s="116"/>
      <c r="R90" s="143"/>
      <c r="S90" s="144"/>
      <c r="T90" s="119"/>
      <c r="U90" s="119"/>
      <c r="V90" s="119"/>
      <c r="W90" s="119"/>
      <c r="X90" s="119"/>
      <c r="Y90" s="119"/>
      <c r="Z90" s="119"/>
      <c r="AA90" s="119"/>
      <c r="AB90" s="119"/>
      <c r="AC90" s="120"/>
      <c r="AD90" s="121"/>
      <c r="AE90" s="121"/>
      <c r="AF90" s="121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</row>
    <row r="91" spans="16:108" ht="15.75">
      <c r="P91" s="116"/>
      <c r="Q91" s="116"/>
      <c r="R91" s="143"/>
      <c r="S91" s="144"/>
      <c r="T91" s="119"/>
      <c r="U91" s="119"/>
      <c r="V91" s="119"/>
      <c r="W91" s="119"/>
      <c r="X91" s="119"/>
      <c r="Y91" s="119"/>
      <c r="Z91" s="119"/>
      <c r="AA91" s="119"/>
      <c r="AB91" s="119"/>
      <c r="AC91" s="120"/>
      <c r="AD91" s="121"/>
      <c r="AE91" s="121"/>
      <c r="AF91" s="121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/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</row>
    <row r="92" spans="16:108" ht="15.75">
      <c r="P92" s="116"/>
      <c r="Q92" s="116"/>
      <c r="R92" s="143"/>
      <c r="S92" s="144"/>
      <c r="T92" s="119"/>
      <c r="U92" s="119"/>
      <c r="V92" s="119"/>
      <c r="W92" s="119"/>
      <c r="X92" s="119"/>
      <c r="Y92" s="119"/>
      <c r="Z92" s="119"/>
      <c r="AA92" s="119"/>
      <c r="AB92" s="119"/>
      <c r="AC92" s="120"/>
      <c r="AD92" s="121"/>
      <c r="AE92" s="121"/>
      <c r="AF92" s="121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</row>
    <row r="93" spans="16:108" ht="15.75">
      <c r="P93" s="116"/>
      <c r="Q93" s="116"/>
      <c r="R93" s="143"/>
      <c r="S93" s="144"/>
      <c r="T93" s="119"/>
      <c r="U93" s="119"/>
      <c r="V93" s="119"/>
      <c r="W93" s="119"/>
      <c r="X93" s="119"/>
      <c r="Y93" s="119"/>
      <c r="Z93" s="119"/>
      <c r="AA93" s="119"/>
      <c r="AB93" s="119"/>
      <c r="AC93" s="120"/>
      <c r="AD93" s="121"/>
      <c r="AE93" s="121"/>
      <c r="AF93" s="121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</row>
    <row r="94" spans="16:108" ht="15.75">
      <c r="P94" s="116"/>
      <c r="Q94" s="116"/>
      <c r="R94" s="143"/>
      <c r="S94" s="144"/>
      <c r="T94" s="119"/>
      <c r="U94" s="119"/>
      <c r="V94" s="119"/>
      <c r="W94" s="119"/>
      <c r="X94" s="119"/>
      <c r="Y94" s="119"/>
      <c r="Z94" s="119"/>
      <c r="AA94" s="119"/>
      <c r="AB94" s="119"/>
      <c r="AC94" s="120"/>
      <c r="AD94" s="121"/>
      <c r="AE94" s="121"/>
      <c r="AF94" s="121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</row>
    <row r="95" spans="16:108" ht="15.75">
      <c r="P95" s="116"/>
      <c r="Q95" s="116"/>
      <c r="R95" s="143"/>
      <c r="S95" s="144"/>
      <c r="T95" s="119"/>
      <c r="U95" s="119"/>
      <c r="V95" s="119"/>
      <c r="W95" s="119"/>
      <c r="X95" s="119"/>
      <c r="Y95" s="119"/>
      <c r="Z95" s="119"/>
      <c r="AA95" s="119"/>
      <c r="AB95" s="119"/>
      <c r="AC95" s="120"/>
      <c r="AD95" s="121"/>
      <c r="AE95" s="121"/>
      <c r="AF95" s="121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2"/>
      <c r="CP95" s="122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2"/>
    </row>
    <row r="96" spans="16:108" ht="15.75">
      <c r="P96" s="116"/>
      <c r="Q96" s="116"/>
      <c r="R96" s="143"/>
      <c r="S96" s="144"/>
      <c r="T96" s="119"/>
      <c r="U96" s="119"/>
      <c r="V96" s="119"/>
      <c r="W96" s="119"/>
      <c r="X96" s="119"/>
      <c r="Y96" s="119"/>
      <c r="Z96" s="119"/>
      <c r="AA96" s="119"/>
      <c r="AB96" s="119"/>
      <c r="AC96" s="120"/>
      <c r="AD96" s="121"/>
      <c r="AE96" s="121"/>
      <c r="AF96" s="121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</row>
    <row r="97" spans="16:108" ht="15.75">
      <c r="P97" s="116"/>
      <c r="Q97" s="116"/>
      <c r="R97" s="143"/>
      <c r="S97" s="144"/>
      <c r="T97" s="119"/>
      <c r="U97" s="119"/>
      <c r="V97" s="119"/>
      <c r="W97" s="119"/>
      <c r="X97" s="119"/>
      <c r="Y97" s="119"/>
      <c r="Z97" s="119"/>
      <c r="AA97" s="119"/>
      <c r="AB97" s="119"/>
      <c r="AC97" s="120"/>
      <c r="AD97" s="121"/>
      <c r="AE97" s="121"/>
      <c r="AF97" s="121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</row>
    <row r="98" spans="16:108" ht="15.75">
      <c r="P98" s="116"/>
      <c r="Q98" s="116"/>
      <c r="R98" s="143"/>
      <c r="S98" s="144"/>
      <c r="T98" s="119"/>
      <c r="U98" s="119"/>
      <c r="V98" s="119"/>
      <c r="W98" s="119"/>
      <c r="X98" s="119"/>
      <c r="Y98" s="119"/>
      <c r="Z98" s="119"/>
      <c r="AA98" s="119"/>
      <c r="AB98" s="119"/>
      <c r="AC98" s="120"/>
      <c r="AD98" s="121"/>
      <c r="AE98" s="121"/>
      <c r="AF98" s="121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</row>
    <row r="99" spans="16:108" ht="15.75">
      <c r="P99" s="116"/>
      <c r="Q99" s="116"/>
      <c r="R99" s="143"/>
      <c r="S99" s="144"/>
      <c r="T99" s="119"/>
      <c r="U99" s="119"/>
      <c r="V99" s="119"/>
      <c r="W99" s="119"/>
      <c r="X99" s="119"/>
      <c r="Y99" s="119"/>
      <c r="Z99" s="119"/>
      <c r="AA99" s="119"/>
      <c r="AB99" s="119"/>
      <c r="AC99" s="120"/>
      <c r="AD99" s="121"/>
      <c r="AE99" s="121"/>
      <c r="AF99" s="121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</row>
    <row r="100" spans="16:108" ht="15.75">
      <c r="P100" s="116"/>
      <c r="Q100" s="116"/>
      <c r="R100" s="143"/>
      <c r="S100" s="144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20"/>
      <c r="AD100" s="121"/>
      <c r="AE100" s="121"/>
      <c r="AF100" s="121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</row>
    <row r="101" spans="16:108" ht="15.75">
      <c r="P101" s="116"/>
      <c r="Q101" s="116"/>
      <c r="R101" s="143"/>
      <c r="S101" s="144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20"/>
      <c r="AD101" s="121"/>
      <c r="AE101" s="121"/>
      <c r="AF101" s="121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2"/>
      <c r="CA101" s="122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2"/>
      <c r="CP101" s="122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2"/>
    </row>
    <row r="102" spans="16:108" ht="15.75">
      <c r="P102" s="116"/>
      <c r="Q102" s="116"/>
      <c r="R102" s="143"/>
      <c r="S102" s="144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20"/>
      <c r="AD102" s="121"/>
      <c r="AE102" s="121"/>
      <c r="AF102" s="121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</row>
    <row r="103" spans="16:108" ht="15.75">
      <c r="P103" s="116"/>
      <c r="Q103" s="116"/>
      <c r="R103" s="143"/>
      <c r="S103" s="144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20"/>
      <c r="AD103" s="121"/>
      <c r="AE103" s="121"/>
      <c r="AF103" s="121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</row>
    <row r="104" spans="16:108" ht="15.75">
      <c r="P104" s="116"/>
      <c r="Q104" s="116"/>
      <c r="R104" s="143"/>
      <c r="S104" s="144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20"/>
      <c r="AD104" s="121"/>
      <c r="AE104" s="121"/>
      <c r="AF104" s="121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</row>
    <row r="105" spans="16:108" ht="15.75">
      <c r="P105" s="116"/>
      <c r="Q105" s="116"/>
      <c r="R105" s="143"/>
      <c r="S105" s="144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20"/>
      <c r="AD105" s="121"/>
      <c r="AE105" s="121"/>
      <c r="AF105" s="121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</row>
    <row r="106" spans="16:108" ht="15.75">
      <c r="P106" s="116"/>
      <c r="Q106" s="116"/>
      <c r="R106" s="143"/>
      <c r="S106" s="144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20"/>
      <c r="AD106" s="121"/>
      <c r="AE106" s="121"/>
      <c r="AF106" s="121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</row>
    <row r="107" spans="16:108" ht="15.75">
      <c r="P107" s="116"/>
      <c r="Q107" s="116"/>
      <c r="R107" s="143"/>
      <c r="S107" s="144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20"/>
      <c r="AD107" s="121"/>
      <c r="AE107" s="121"/>
      <c r="AF107" s="121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</row>
    <row r="108" spans="16:108" ht="15.75">
      <c r="P108" s="116"/>
      <c r="Q108" s="116"/>
      <c r="R108" s="143"/>
      <c r="S108" s="144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20"/>
      <c r="AD108" s="121"/>
      <c r="AE108" s="121"/>
      <c r="AF108" s="121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</row>
    <row r="109" spans="16:108" ht="15.75">
      <c r="P109" s="116"/>
      <c r="Q109" s="116"/>
      <c r="R109" s="143"/>
      <c r="S109" s="144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20"/>
      <c r="AD109" s="121"/>
      <c r="AE109" s="121"/>
      <c r="AF109" s="121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</row>
    <row r="110" spans="16:108" ht="15.75">
      <c r="P110" s="116"/>
      <c r="Q110" s="116"/>
      <c r="R110" s="143"/>
      <c r="S110" s="144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20"/>
      <c r="AD110" s="121"/>
      <c r="AE110" s="121"/>
      <c r="AF110" s="121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</row>
    <row r="111" spans="16:108" ht="15.75">
      <c r="P111" s="116"/>
      <c r="Q111" s="116"/>
      <c r="R111" s="143"/>
      <c r="S111" s="144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20"/>
      <c r="AD111" s="121"/>
      <c r="AE111" s="121"/>
      <c r="AF111" s="121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</row>
    <row r="112" spans="16:108" ht="15.75">
      <c r="P112" s="116"/>
      <c r="Q112" s="116"/>
      <c r="R112" s="143"/>
      <c r="S112" s="144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20"/>
      <c r="AD112" s="121"/>
      <c r="AE112" s="121"/>
      <c r="AF112" s="121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</row>
    <row r="113" spans="16:108" ht="15.75">
      <c r="P113" s="116"/>
      <c r="Q113" s="116"/>
      <c r="R113" s="143"/>
      <c r="S113" s="144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20"/>
      <c r="AD113" s="121"/>
      <c r="AE113" s="121"/>
      <c r="AF113" s="121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</row>
    <row r="114" spans="16:108" ht="15.75">
      <c r="P114" s="116"/>
      <c r="Q114" s="116"/>
      <c r="R114" s="143"/>
      <c r="S114" s="144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20"/>
      <c r="AD114" s="121"/>
      <c r="AE114" s="121"/>
      <c r="AF114" s="121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</row>
    <row r="115" spans="16:108" ht="15.75">
      <c r="P115" s="116"/>
      <c r="Q115" s="116"/>
      <c r="R115" s="143"/>
      <c r="S115" s="144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20"/>
      <c r="AD115" s="121"/>
      <c r="AE115" s="121"/>
      <c r="AF115" s="121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</row>
    <row r="116" spans="16:108" ht="15.75">
      <c r="P116" s="116"/>
      <c r="Q116" s="116"/>
      <c r="R116" s="143"/>
      <c r="S116" s="144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20"/>
      <c r="AD116" s="121"/>
      <c r="AE116" s="121"/>
      <c r="AF116" s="121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</row>
    <row r="117" spans="16:108" ht="15.75">
      <c r="P117" s="116"/>
      <c r="Q117" s="116"/>
      <c r="R117" s="143"/>
      <c r="S117" s="144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20"/>
      <c r="AD117" s="121"/>
      <c r="AE117" s="121"/>
      <c r="AF117" s="121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</row>
    <row r="118" spans="16:108" ht="15.75">
      <c r="P118" s="116"/>
      <c r="Q118" s="116"/>
      <c r="R118" s="143"/>
      <c r="S118" s="144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20"/>
      <c r="AD118" s="121"/>
      <c r="AE118" s="121"/>
      <c r="AF118" s="121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</row>
    <row r="119" spans="16:108" ht="15.75">
      <c r="P119" s="116"/>
      <c r="Q119" s="116"/>
      <c r="R119" s="143"/>
      <c r="S119" s="144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20"/>
      <c r="AD119" s="121"/>
      <c r="AE119" s="121"/>
      <c r="AF119" s="121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</row>
    <row r="120" spans="16:108" ht="15.75">
      <c r="P120" s="116"/>
      <c r="Q120" s="116"/>
      <c r="R120" s="143"/>
      <c r="S120" s="144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20"/>
      <c r="AD120" s="121"/>
      <c r="AE120" s="121"/>
      <c r="AF120" s="121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</row>
    <row r="121" spans="16:108" ht="15.75">
      <c r="P121" s="116"/>
      <c r="Q121" s="116"/>
      <c r="R121" s="143"/>
      <c r="S121" s="144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20"/>
      <c r="AD121" s="121"/>
      <c r="AE121" s="121"/>
      <c r="AF121" s="121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</row>
    <row r="122" spans="16:108" ht="15.75">
      <c r="P122" s="116"/>
      <c r="Q122" s="116"/>
      <c r="R122" s="143"/>
      <c r="S122" s="144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20"/>
      <c r="AD122" s="121"/>
      <c r="AE122" s="121"/>
      <c r="AF122" s="121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</row>
    <row r="123" spans="16:108" ht="15.75">
      <c r="P123" s="116"/>
      <c r="Q123" s="116"/>
      <c r="R123" s="143"/>
      <c r="S123" s="144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20"/>
      <c r="AD123" s="121"/>
      <c r="AE123" s="121"/>
      <c r="AF123" s="121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</row>
    <row r="124" spans="16:108" ht="15.75">
      <c r="P124" s="116"/>
      <c r="Q124" s="116"/>
      <c r="R124" s="143"/>
      <c r="S124" s="144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20"/>
      <c r="AD124" s="121"/>
      <c r="AE124" s="121"/>
      <c r="AF124" s="121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</row>
    <row r="125" spans="16:108" ht="15.75">
      <c r="P125" s="116"/>
      <c r="Q125" s="116"/>
      <c r="R125" s="143"/>
      <c r="S125" s="144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20"/>
      <c r="AD125" s="121"/>
      <c r="AE125" s="121"/>
      <c r="AF125" s="121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</row>
    <row r="126" spans="16:108" ht="15.75">
      <c r="P126" s="116"/>
      <c r="Q126" s="116"/>
      <c r="R126" s="143"/>
      <c r="S126" s="144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20"/>
      <c r="AD126" s="121"/>
      <c r="AE126" s="121"/>
      <c r="AF126" s="121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</row>
    <row r="127" spans="16:108" ht="15.75">
      <c r="P127" s="116"/>
      <c r="Q127" s="116"/>
      <c r="R127" s="143"/>
      <c r="S127" s="144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20"/>
      <c r="AD127" s="121"/>
      <c r="AE127" s="121"/>
      <c r="AF127" s="121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</row>
    <row r="128" spans="16:108" ht="15.75">
      <c r="P128" s="116"/>
      <c r="Q128" s="116"/>
      <c r="R128" s="143"/>
      <c r="S128" s="144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20"/>
      <c r="AD128" s="121"/>
      <c r="AE128" s="121"/>
      <c r="AF128" s="121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</row>
    <row r="129" spans="16:108" ht="15.75">
      <c r="P129" s="116"/>
      <c r="Q129" s="116"/>
      <c r="R129" s="143"/>
      <c r="S129" s="144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20"/>
      <c r="AD129" s="121"/>
      <c r="AE129" s="121"/>
      <c r="AF129" s="121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  <c r="BB129" s="122"/>
      <c r="BC129" s="122"/>
      <c r="BD129" s="122"/>
      <c r="BE129" s="122"/>
      <c r="BF129" s="122"/>
      <c r="BG129" s="122"/>
      <c r="BH129" s="122"/>
      <c r="BI129" s="122"/>
      <c r="BJ129" s="122"/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2"/>
      <c r="CA129" s="122"/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2"/>
      <c r="CP129" s="122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2"/>
    </row>
    <row r="130" spans="16:108" ht="15.75">
      <c r="P130" s="116"/>
      <c r="Q130" s="116"/>
      <c r="R130" s="143"/>
      <c r="S130" s="144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20"/>
      <c r="AD130" s="121"/>
      <c r="AE130" s="121"/>
      <c r="AF130" s="121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2"/>
    </row>
    <row r="131" spans="16:108" ht="15.75">
      <c r="P131" s="116"/>
      <c r="Q131" s="116"/>
      <c r="R131" s="143"/>
      <c r="S131" s="144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20"/>
      <c r="AD131" s="121"/>
      <c r="AE131" s="121"/>
      <c r="AF131" s="121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</row>
    <row r="132" spans="16:108" ht="15.75">
      <c r="P132" s="116"/>
      <c r="Q132" s="116"/>
      <c r="R132" s="143"/>
      <c r="S132" s="144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20"/>
      <c r="AD132" s="121"/>
      <c r="AE132" s="121"/>
      <c r="AF132" s="121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2"/>
      <c r="CA132" s="122"/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2"/>
      <c r="CP132" s="122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2"/>
    </row>
    <row r="133" spans="16:108" ht="15.75">
      <c r="P133" s="116"/>
      <c r="Q133" s="116"/>
      <c r="R133" s="143"/>
      <c r="S133" s="144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20"/>
      <c r="AD133" s="121"/>
      <c r="AE133" s="121"/>
      <c r="AF133" s="121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</row>
    <row r="134" spans="16:108" ht="15.75">
      <c r="P134" s="116"/>
      <c r="Q134" s="116"/>
      <c r="R134" s="143"/>
      <c r="S134" s="144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20"/>
      <c r="AD134" s="121"/>
      <c r="AE134" s="121"/>
      <c r="AF134" s="121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22"/>
      <c r="BY134" s="122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22"/>
      <c r="CO134" s="122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22"/>
    </row>
    <row r="135" spans="16:108" ht="15.75">
      <c r="P135" s="116"/>
      <c r="Q135" s="116"/>
      <c r="R135" s="143"/>
      <c r="S135" s="144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20"/>
      <c r="AD135" s="121"/>
      <c r="AE135" s="121"/>
      <c r="AF135" s="121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122"/>
      <c r="BJ135" s="122"/>
      <c r="BK135" s="122"/>
      <c r="BL135" s="122"/>
      <c r="BM135" s="122"/>
      <c r="BN135" s="122"/>
      <c r="BO135" s="122"/>
      <c r="BP135" s="122"/>
      <c r="BQ135" s="122"/>
      <c r="BR135" s="122"/>
      <c r="BS135" s="122"/>
      <c r="BT135" s="122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2"/>
      <c r="CI135" s="122"/>
      <c r="CJ135" s="122"/>
      <c r="CK135" s="122"/>
      <c r="CL135" s="122"/>
      <c r="CM135" s="122"/>
      <c r="CN135" s="122"/>
      <c r="CO135" s="122"/>
      <c r="CP135" s="122"/>
      <c r="CQ135" s="122"/>
      <c r="CR135" s="122"/>
      <c r="CS135" s="122"/>
      <c r="CT135" s="122"/>
      <c r="CU135" s="122"/>
      <c r="CV135" s="122"/>
      <c r="CW135" s="122"/>
      <c r="CX135" s="122"/>
      <c r="CY135" s="122"/>
      <c r="CZ135" s="122"/>
      <c r="DA135" s="122"/>
      <c r="DB135" s="122"/>
      <c r="DC135" s="122"/>
      <c r="DD135" s="122"/>
    </row>
    <row r="136" spans="16:108" ht="15.75">
      <c r="P136" s="116"/>
      <c r="Q136" s="116"/>
      <c r="R136" s="143"/>
      <c r="S136" s="144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20"/>
      <c r="AD136" s="121"/>
      <c r="AE136" s="121"/>
      <c r="AF136" s="121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122"/>
      <c r="BC136" s="122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122"/>
      <c r="BN136" s="122"/>
      <c r="BO136" s="122"/>
      <c r="BP136" s="122"/>
      <c r="BQ136" s="122"/>
      <c r="BR136" s="122"/>
      <c r="BS136" s="122"/>
      <c r="BT136" s="122"/>
      <c r="BU136" s="122"/>
      <c r="BV136" s="122"/>
      <c r="BW136" s="122"/>
      <c r="BX136" s="122"/>
      <c r="BY136" s="122"/>
      <c r="BZ136" s="122"/>
      <c r="CA136" s="122"/>
      <c r="CB136" s="122"/>
      <c r="CC136" s="122"/>
      <c r="CD136" s="122"/>
      <c r="CE136" s="122"/>
      <c r="CF136" s="122"/>
      <c r="CG136" s="122"/>
      <c r="CH136" s="122"/>
      <c r="CI136" s="122"/>
      <c r="CJ136" s="122"/>
      <c r="CK136" s="122"/>
      <c r="CL136" s="122"/>
      <c r="CM136" s="122"/>
      <c r="CN136" s="122"/>
      <c r="CO136" s="122"/>
      <c r="CP136" s="122"/>
      <c r="CQ136" s="122"/>
      <c r="CR136" s="122"/>
      <c r="CS136" s="122"/>
      <c r="CT136" s="122"/>
      <c r="CU136" s="122"/>
      <c r="CV136" s="122"/>
      <c r="CW136" s="122"/>
      <c r="CX136" s="122"/>
      <c r="CY136" s="122"/>
      <c r="CZ136" s="122"/>
      <c r="DA136" s="122"/>
      <c r="DB136" s="122"/>
      <c r="DC136" s="122"/>
      <c r="DD136" s="122"/>
    </row>
    <row r="137" spans="16:108" ht="15.75">
      <c r="P137" s="116"/>
      <c r="Q137" s="116"/>
      <c r="R137" s="143"/>
      <c r="S137" s="144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20"/>
      <c r="AD137" s="121"/>
      <c r="AE137" s="121"/>
      <c r="AF137" s="121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  <c r="BB137" s="122"/>
      <c r="BC137" s="122"/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/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</row>
    <row r="138" spans="16:108" ht="15.75">
      <c r="P138" s="116"/>
      <c r="Q138" s="116"/>
      <c r="R138" s="143"/>
      <c r="S138" s="144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20"/>
      <c r="AD138" s="121"/>
      <c r="AE138" s="121"/>
      <c r="AF138" s="121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  <c r="BB138" s="122"/>
      <c r="BC138" s="122"/>
      <c r="BD138" s="122"/>
      <c r="BE138" s="122"/>
      <c r="BF138" s="122"/>
      <c r="BG138" s="122"/>
      <c r="BH138" s="122"/>
      <c r="BI138" s="122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122"/>
      <c r="BT138" s="122"/>
      <c r="BU138" s="122"/>
      <c r="BV138" s="122"/>
      <c r="BW138" s="122"/>
      <c r="BX138" s="122"/>
      <c r="BY138" s="122"/>
      <c r="BZ138" s="122"/>
      <c r="CA138" s="122"/>
      <c r="CB138" s="122"/>
      <c r="CC138" s="122"/>
      <c r="CD138" s="122"/>
      <c r="CE138" s="122"/>
      <c r="CF138" s="122"/>
      <c r="CG138" s="122"/>
      <c r="CH138" s="122"/>
      <c r="CI138" s="122"/>
      <c r="CJ138" s="122"/>
      <c r="CK138" s="122"/>
      <c r="CL138" s="122"/>
      <c r="CM138" s="122"/>
      <c r="CN138" s="122"/>
      <c r="CO138" s="122"/>
      <c r="CP138" s="122"/>
      <c r="CQ138" s="122"/>
      <c r="CR138" s="122"/>
      <c r="CS138" s="122"/>
      <c r="CT138" s="122"/>
      <c r="CU138" s="122"/>
      <c r="CV138" s="122"/>
      <c r="CW138" s="122"/>
      <c r="CX138" s="122"/>
      <c r="CY138" s="122"/>
      <c r="CZ138" s="122"/>
      <c r="DA138" s="122"/>
      <c r="DB138" s="122"/>
      <c r="DC138" s="122"/>
      <c r="DD138" s="122"/>
    </row>
    <row r="139" spans="16:108" ht="15.75">
      <c r="P139" s="116"/>
      <c r="Q139" s="116"/>
      <c r="R139" s="143"/>
      <c r="S139" s="144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20"/>
      <c r="AD139" s="121"/>
      <c r="AE139" s="121"/>
      <c r="AF139" s="121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  <c r="BB139" s="122"/>
      <c r="BC139" s="122"/>
      <c r="BD139" s="122"/>
      <c r="BE139" s="122"/>
      <c r="BF139" s="122"/>
      <c r="BG139" s="122"/>
      <c r="BH139" s="122"/>
      <c r="BI139" s="122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122"/>
      <c r="BT139" s="122"/>
      <c r="BU139" s="122"/>
      <c r="BV139" s="122"/>
      <c r="BW139" s="122"/>
      <c r="BX139" s="122"/>
      <c r="BY139" s="122"/>
      <c r="BZ139" s="122"/>
      <c r="CA139" s="122"/>
      <c r="CB139" s="122"/>
      <c r="CC139" s="122"/>
      <c r="CD139" s="122"/>
      <c r="CE139" s="122"/>
      <c r="CF139" s="122"/>
      <c r="CG139" s="122"/>
      <c r="CH139" s="122"/>
      <c r="CI139" s="122"/>
      <c r="CJ139" s="122"/>
      <c r="CK139" s="122"/>
      <c r="CL139" s="122"/>
      <c r="CM139" s="122"/>
      <c r="CN139" s="122"/>
      <c r="CO139" s="122"/>
      <c r="CP139" s="122"/>
      <c r="CQ139" s="122"/>
      <c r="CR139" s="122"/>
      <c r="CS139" s="122"/>
      <c r="CT139" s="122"/>
      <c r="CU139" s="122"/>
      <c r="CV139" s="122"/>
      <c r="CW139" s="122"/>
      <c r="CX139" s="122"/>
      <c r="CY139" s="122"/>
      <c r="CZ139" s="122"/>
      <c r="DA139" s="122"/>
      <c r="DB139" s="122"/>
      <c r="DC139" s="122"/>
      <c r="DD139" s="122"/>
    </row>
    <row r="140" spans="16:108" ht="15.75">
      <c r="P140" s="116"/>
      <c r="Q140" s="116"/>
      <c r="R140" s="143"/>
      <c r="S140" s="144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20"/>
      <c r="AD140" s="121"/>
      <c r="AE140" s="121"/>
      <c r="AF140" s="121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2"/>
      <c r="BG140" s="122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22"/>
      <c r="BU140" s="122"/>
      <c r="BV140" s="122"/>
      <c r="BW140" s="122"/>
      <c r="BX140" s="122"/>
      <c r="BY140" s="122"/>
      <c r="BZ140" s="122"/>
      <c r="CA140" s="122"/>
      <c r="CB140" s="122"/>
      <c r="CC140" s="122"/>
      <c r="CD140" s="122"/>
      <c r="CE140" s="122"/>
      <c r="CF140" s="122"/>
      <c r="CG140" s="122"/>
      <c r="CH140" s="122"/>
      <c r="CI140" s="122"/>
      <c r="CJ140" s="122"/>
      <c r="CK140" s="122"/>
      <c r="CL140" s="122"/>
      <c r="CM140" s="122"/>
      <c r="CN140" s="122"/>
      <c r="CO140" s="122"/>
      <c r="CP140" s="122"/>
      <c r="CQ140" s="122"/>
      <c r="CR140" s="122"/>
      <c r="CS140" s="122"/>
      <c r="CT140" s="122"/>
      <c r="CU140" s="122"/>
      <c r="CV140" s="122"/>
      <c r="CW140" s="122"/>
      <c r="CX140" s="122"/>
      <c r="CY140" s="122"/>
      <c r="CZ140" s="122"/>
      <c r="DA140" s="122"/>
      <c r="DB140" s="122"/>
      <c r="DC140" s="122"/>
      <c r="DD140" s="122"/>
    </row>
    <row r="141" spans="16:108" ht="15.75">
      <c r="P141" s="116"/>
      <c r="Q141" s="116"/>
      <c r="R141" s="143"/>
      <c r="S141" s="144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20"/>
      <c r="AD141" s="121"/>
      <c r="AE141" s="121"/>
      <c r="AF141" s="121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122"/>
      <c r="BT141" s="122"/>
      <c r="BU141" s="122"/>
      <c r="BV141" s="122"/>
      <c r="BW141" s="122"/>
      <c r="BX141" s="122"/>
      <c r="BY141" s="122"/>
      <c r="BZ141" s="122"/>
      <c r="CA141" s="122"/>
      <c r="CB141" s="122"/>
      <c r="CC141" s="122"/>
      <c r="CD141" s="122"/>
      <c r="CE141" s="122"/>
      <c r="CF141" s="122"/>
      <c r="CG141" s="122"/>
      <c r="CH141" s="122"/>
      <c r="CI141" s="122"/>
      <c r="CJ141" s="122"/>
      <c r="CK141" s="122"/>
      <c r="CL141" s="122"/>
      <c r="CM141" s="122"/>
      <c r="CN141" s="122"/>
      <c r="CO141" s="122"/>
      <c r="CP141" s="122"/>
      <c r="CQ141" s="122"/>
      <c r="CR141" s="122"/>
      <c r="CS141" s="122"/>
      <c r="CT141" s="122"/>
      <c r="CU141" s="122"/>
      <c r="CV141" s="122"/>
      <c r="CW141" s="122"/>
      <c r="CX141" s="122"/>
      <c r="CY141" s="122"/>
      <c r="CZ141" s="122"/>
      <c r="DA141" s="122"/>
      <c r="DB141" s="122"/>
      <c r="DC141" s="122"/>
      <c r="DD141" s="122"/>
    </row>
    <row r="142" spans="16:108" ht="15.75">
      <c r="P142" s="116"/>
      <c r="Q142" s="116"/>
      <c r="R142" s="143"/>
      <c r="S142" s="144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20"/>
      <c r="AD142" s="121"/>
      <c r="AE142" s="121"/>
      <c r="AF142" s="121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122"/>
      <c r="BT142" s="122"/>
      <c r="BU142" s="122"/>
      <c r="BV142" s="122"/>
      <c r="BW142" s="122"/>
      <c r="BX142" s="122"/>
      <c r="BY142" s="122"/>
      <c r="BZ142" s="122"/>
      <c r="CA142" s="122"/>
      <c r="CB142" s="122"/>
      <c r="CC142" s="122"/>
      <c r="CD142" s="122"/>
      <c r="CE142" s="122"/>
      <c r="CF142" s="122"/>
      <c r="CG142" s="122"/>
      <c r="CH142" s="122"/>
      <c r="CI142" s="122"/>
      <c r="CJ142" s="122"/>
      <c r="CK142" s="122"/>
      <c r="CL142" s="122"/>
      <c r="CM142" s="122"/>
      <c r="CN142" s="122"/>
      <c r="CO142" s="122"/>
      <c r="CP142" s="122"/>
      <c r="CQ142" s="122"/>
      <c r="CR142" s="122"/>
      <c r="CS142" s="122"/>
      <c r="CT142" s="122"/>
      <c r="CU142" s="122"/>
      <c r="CV142" s="122"/>
      <c r="CW142" s="122"/>
      <c r="CX142" s="122"/>
      <c r="CY142" s="122"/>
      <c r="CZ142" s="122"/>
      <c r="DA142" s="122"/>
      <c r="DB142" s="122"/>
      <c r="DC142" s="122"/>
      <c r="DD142" s="122"/>
    </row>
    <row r="143" spans="16:108" ht="15.75">
      <c r="P143" s="116"/>
      <c r="Q143" s="116"/>
      <c r="R143" s="143"/>
      <c r="S143" s="144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20"/>
      <c r="AD143" s="121"/>
      <c r="AE143" s="121"/>
      <c r="AF143" s="121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/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</row>
    <row r="144" spans="16:108" ht="15.75">
      <c r="P144" s="116"/>
      <c r="Q144" s="116"/>
      <c r="R144" s="143"/>
      <c r="S144" s="144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20"/>
      <c r="AD144" s="121"/>
      <c r="AE144" s="121"/>
      <c r="AF144" s="121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22"/>
      <c r="BU144" s="122"/>
      <c r="BV144" s="122"/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22"/>
      <c r="CN144" s="122"/>
      <c r="CO144" s="122"/>
      <c r="CP144" s="122"/>
      <c r="CQ144" s="122"/>
      <c r="CR144" s="122"/>
      <c r="CS144" s="122"/>
      <c r="CT144" s="122"/>
      <c r="CU144" s="122"/>
      <c r="CV144" s="122"/>
      <c r="CW144" s="122"/>
      <c r="CX144" s="122"/>
      <c r="CY144" s="122"/>
      <c r="CZ144" s="122"/>
      <c r="DA144" s="122"/>
      <c r="DB144" s="122"/>
      <c r="DC144" s="122"/>
      <c r="DD144" s="122"/>
    </row>
    <row r="145" spans="16:108" ht="15.75">
      <c r="P145" s="116"/>
      <c r="Q145" s="116"/>
      <c r="R145" s="143"/>
      <c r="S145" s="144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20"/>
      <c r="AD145" s="121"/>
      <c r="AE145" s="121"/>
      <c r="AF145" s="121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2"/>
      <c r="BU145" s="122"/>
      <c r="BV145" s="122"/>
      <c r="BW145" s="122"/>
      <c r="BX145" s="122"/>
      <c r="BY145" s="122"/>
      <c r="BZ145" s="122"/>
      <c r="CA145" s="122"/>
      <c r="CB145" s="122"/>
      <c r="CC145" s="122"/>
      <c r="CD145" s="122"/>
      <c r="CE145" s="122"/>
      <c r="CF145" s="122"/>
      <c r="CG145" s="122"/>
      <c r="CH145" s="12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</row>
    <row r="146" spans="16:108" ht="15.75">
      <c r="P146" s="116"/>
      <c r="Q146" s="116"/>
      <c r="R146" s="143"/>
      <c r="S146" s="144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20"/>
      <c r="AD146" s="121"/>
      <c r="AE146" s="121"/>
      <c r="AF146" s="121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  <c r="BD146" s="122"/>
      <c r="BE146" s="122"/>
      <c r="BF146" s="122"/>
      <c r="BG146" s="122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22"/>
      <c r="BU146" s="122"/>
      <c r="BV146" s="122"/>
      <c r="BW146" s="122"/>
      <c r="BX146" s="122"/>
      <c r="BY146" s="122"/>
      <c r="BZ146" s="122"/>
      <c r="CA146" s="122"/>
      <c r="CB146" s="122"/>
      <c r="CC146" s="122"/>
      <c r="CD146" s="122"/>
      <c r="CE146" s="122"/>
      <c r="CF146" s="122"/>
      <c r="CG146" s="122"/>
      <c r="CH146" s="122"/>
      <c r="CI146" s="122"/>
      <c r="CJ146" s="122"/>
      <c r="CK146" s="122"/>
      <c r="CL146" s="122"/>
      <c r="CM146" s="122"/>
      <c r="CN146" s="122"/>
      <c r="CO146" s="122"/>
      <c r="CP146" s="122"/>
      <c r="CQ146" s="122"/>
      <c r="CR146" s="122"/>
      <c r="CS146" s="122"/>
      <c r="CT146" s="122"/>
      <c r="CU146" s="122"/>
      <c r="CV146" s="122"/>
      <c r="CW146" s="122"/>
      <c r="CX146" s="122"/>
      <c r="CY146" s="122"/>
      <c r="CZ146" s="122"/>
      <c r="DA146" s="122"/>
      <c r="DB146" s="122"/>
      <c r="DC146" s="122"/>
      <c r="DD146" s="122"/>
    </row>
    <row r="147" spans="16:108" ht="15.75">
      <c r="P147" s="116"/>
      <c r="Q147" s="116"/>
      <c r="R147" s="143"/>
      <c r="S147" s="144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20"/>
      <c r="AD147" s="121"/>
      <c r="AE147" s="121"/>
      <c r="AF147" s="121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</row>
    <row r="148" spans="16:108" ht="15.75">
      <c r="P148" s="116"/>
      <c r="Q148" s="116"/>
      <c r="R148" s="143"/>
      <c r="S148" s="144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20"/>
      <c r="AD148" s="121"/>
      <c r="AE148" s="121"/>
      <c r="AF148" s="121"/>
      <c r="AG148" s="122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2"/>
      <c r="BD148" s="122"/>
      <c r="BE148" s="122"/>
      <c r="BF148" s="122"/>
      <c r="BG148" s="122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2"/>
      <c r="BU148" s="122"/>
      <c r="BV148" s="122"/>
      <c r="BW148" s="122"/>
      <c r="BX148" s="122"/>
      <c r="BY148" s="122"/>
      <c r="BZ148" s="122"/>
      <c r="CA148" s="122"/>
      <c r="CB148" s="122"/>
      <c r="CC148" s="122"/>
      <c r="CD148" s="122"/>
      <c r="CE148" s="122"/>
      <c r="CF148" s="122"/>
      <c r="CG148" s="122"/>
      <c r="CH148" s="122"/>
      <c r="CI148" s="122"/>
      <c r="CJ148" s="122"/>
      <c r="CK148" s="122"/>
      <c r="CL148" s="122"/>
      <c r="CM148" s="122"/>
      <c r="CN148" s="122"/>
      <c r="CO148" s="122"/>
      <c r="CP148" s="122"/>
      <c r="CQ148" s="122"/>
      <c r="CR148" s="122"/>
      <c r="CS148" s="122"/>
      <c r="CT148" s="122"/>
      <c r="CU148" s="122"/>
      <c r="CV148" s="122"/>
      <c r="CW148" s="122"/>
      <c r="CX148" s="122"/>
      <c r="CY148" s="122"/>
      <c r="CZ148" s="122"/>
      <c r="DA148" s="122"/>
      <c r="DB148" s="122"/>
      <c r="DC148" s="122"/>
      <c r="DD148" s="122"/>
    </row>
    <row r="149" spans="16:108" ht="15.75">
      <c r="P149" s="116"/>
      <c r="Q149" s="116"/>
      <c r="R149" s="143"/>
      <c r="S149" s="144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20"/>
      <c r="AD149" s="121"/>
      <c r="AE149" s="121"/>
      <c r="AF149" s="121"/>
      <c r="AG149" s="122"/>
      <c r="AH149" s="122"/>
      <c r="AI149" s="122"/>
      <c r="AJ149" s="122"/>
      <c r="AK149" s="122"/>
      <c r="AL149" s="122"/>
      <c r="AM149" s="122"/>
      <c r="AN149" s="122"/>
      <c r="AO149" s="122"/>
      <c r="AP149" s="122"/>
      <c r="AQ149" s="122"/>
      <c r="AR149" s="122"/>
      <c r="AS149" s="122"/>
      <c r="AT149" s="122"/>
      <c r="AU149" s="122"/>
      <c r="AV149" s="122"/>
      <c r="AW149" s="122"/>
      <c r="AX149" s="122"/>
      <c r="AY149" s="122"/>
      <c r="AZ149" s="122"/>
      <c r="BA149" s="122"/>
      <c r="BB149" s="122"/>
      <c r="BC149" s="122"/>
      <c r="BD149" s="122"/>
      <c r="BE149" s="122"/>
      <c r="BF149" s="122"/>
      <c r="BG149" s="122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22"/>
      <c r="BU149" s="122"/>
      <c r="BV149" s="122"/>
      <c r="BW149" s="122"/>
      <c r="BX149" s="122"/>
      <c r="BY149" s="122"/>
      <c r="BZ149" s="122"/>
      <c r="CA149" s="122"/>
      <c r="CB149" s="122"/>
      <c r="CC149" s="122"/>
      <c r="CD149" s="122"/>
      <c r="CE149" s="122"/>
      <c r="CF149" s="122"/>
      <c r="CG149" s="122"/>
      <c r="CH149" s="122"/>
      <c r="CI149" s="122"/>
      <c r="CJ149" s="122"/>
      <c r="CK149" s="122"/>
      <c r="CL149" s="122"/>
      <c r="CM149" s="122"/>
      <c r="CN149" s="122"/>
      <c r="CO149" s="122"/>
      <c r="CP149" s="122"/>
      <c r="CQ149" s="122"/>
      <c r="CR149" s="122"/>
      <c r="CS149" s="122"/>
      <c r="CT149" s="122"/>
      <c r="CU149" s="122"/>
      <c r="CV149" s="122"/>
      <c r="CW149" s="122"/>
      <c r="CX149" s="122"/>
      <c r="CY149" s="122"/>
      <c r="CZ149" s="122"/>
      <c r="DA149" s="122"/>
      <c r="DB149" s="122"/>
      <c r="DC149" s="122"/>
      <c r="DD149" s="122"/>
    </row>
    <row r="150" spans="16:108" ht="15.75">
      <c r="P150" s="116"/>
      <c r="Q150" s="116"/>
      <c r="R150" s="143"/>
      <c r="S150" s="144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20"/>
      <c r="AD150" s="121"/>
      <c r="AE150" s="121"/>
      <c r="AF150" s="121"/>
      <c r="AG150" s="122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122"/>
      <c r="AR150" s="122"/>
      <c r="AS150" s="122"/>
      <c r="AT150" s="122"/>
      <c r="AU150" s="122"/>
      <c r="AV150" s="122"/>
      <c r="AW150" s="122"/>
      <c r="AX150" s="122"/>
      <c r="AY150" s="122"/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22"/>
      <c r="CK150" s="122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22"/>
    </row>
    <row r="151" spans="16:108" ht="15.75">
      <c r="P151" s="116"/>
      <c r="Q151" s="116"/>
      <c r="R151" s="143"/>
      <c r="S151" s="144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20"/>
      <c r="AD151" s="121"/>
      <c r="AE151" s="121"/>
      <c r="AF151" s="121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  <c r="CE151" s="122"/>
      <c r="CF151" s="122"/>
      <c r="CG151" s="122"/>
      <c r="CH151" s="122"/>
      <c r="CI151" s="122"/>
      <c r="CJ151" s="122"/>
      <c r="CK151" s="122"/>
      <c r="CL151" s="122"/>
      <c r="CM151" s="122"/>
      <c r="CN151" s="122"/>
      <c r="CO151" s="122"/>
      <c r="CP151" s="122"/>
      <c r="CQ151" s="122"/>
      <c r="CR151" s="122"/>
      <c r="CS151" s="122"/>
      <c r="CT151" s="122"/>
      <c r="CU151" s="122"/>
      <c r="CV151" s="122"/>
      <c r="CW151" s="122"/>
      <c r="CX151" s="122"/>
      <c r="CY151" s="122"/>
      <c r="CZ151" s="122"/>
      <c r="DA151" s="122"/>
      <c r="DB151" s="122"/>
      <c r="DC151" s="122"/>
      <c r="DD151" s="122"/>
    </row>
    <row r="152" spans="16:108" ht="15.75">
      <c r="P152" s="116"/>
      <c r="Q152" s="116"/>
      <c r="R152" s="143"/>
      <c r="S152" s="144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20"/>
      <c r="AD152" s="121"/>
      <c r="AE152" s="121"/>
      <c r="AF152" s="121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2"/>
      <c r="CI152" s="122"/>
      <c r="CJ152" s="122"/>
      <c r="CK152" s="122"/>
      <c r="CL152" s="122"/>
      <c r="CM152" s="122"/>
      <c r="CN152" s="122"/>
      <c r="CO152" s="122"/>
      <c r="CP152" s="122"/>
      <c r="CQ152" s="122"/>
      <c r="CR152" s="122"/>
      <c r="CS152" s="122"/>
      <c r="CT152" s="122"/>
      <c r="CU152" s="122"/>
      <c r="CV152" s="122"/>
      <c r="CW152" s="122"/>
      <c r="CX152" s="122"/>
      <c r="CY152" s="122"/>
      <c r="CZ152" s="122"/>
      <c r="DA152" s="122"/>
      <c r="DB152" s="122"/>
      <c r="DC152" s="122"/>
      <c r="DD152" s="122"/>
    </row>
    <row r="153" spans="16:108" ht="15.75">
      <c r="P153" s="116"/>
      <c r="Q153" s="116"/>
      <c r="R153" s="143"/>
      <c r="S153" s="144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20"/>
      <c r="AD153" s="121"/>
      <c r="AE153" s="121"/>
      <c r="AF153" s="121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122"/>
      <c r="CI153" s="122"/>
      <c r="CJ153" s="122"/>
      <c r="CK153" s="122"/>
      <c r="CL153" s="122"/>
      <c r="CM153" s="122"/>
      <c r="CN153" s="122"/>
      <c r="CO153" s="122"/>
      <c r="CP153" s="122"/>
      <c r="CQ153" s="122"/>
      <c r="CR153" s="122"/>
      <c r="CS153" s="122"/>
      <c r="CT153" s="122"/>
      <c r="CU153" s="122"/>
      <c r="CV153" s="122"/>
      <c r="CW153" s="122"/>
      <c r="CX153" s="122"/>
      <c r="CY153" s="122"/>
      <c r="CZ153" s="122"/>
      <c r="DA153" s="122"/>
      <c r="DB153" s="122"/>
      <c r="DC153" s="122"/>
      <c r="DD153" s="122"/>
    </row>
    <row r="154" spans="16:108" ht="15.75">
      <c r="P154" s="116"/>
      <c r="Q154" s="116"/>
      <c r="R154" s="143"/>
      <c r="S154" s="144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20"/>
      <c r="AD154" s="121"/>
      <c r="AE154" s="121"/>
      <c r="AF154" s="121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2"/>
      <c r="CI154" s="122"/>
      <c r="CJ154" s="122"/>
      <c r="CK154" s="122"/>
      <c r="CL154" s="122"/>
      <c r="CM154" s="122"/>
      <c r="CN154" s="122"/>
      <c r="CO154" s="122"/>
      <c r="CP154" s="122"/>
      <c r="CQ154" s="122"/>
      <c r="CR154" s="122"/>
      <c r="CS154" s="122"/>
      <c r="CT154" s="122"/>
      <c r="CU154" s="122"/>
      <c r="CV154" s="122"/>
      <c r="CW154" s="122"/>
      <c r="CX154" s="122"/>
      <c r="CY154" s="122"/>
      <c r="CZ154" s="122"/>
      <c r="DA154" s="122"/>
      <c r="DB154" s="122"/>
      <c r="DC154" s="122"/>
      <c r="DD154" s="122"/>
    </row>
    <row r="155" spans="16:108" ht="15.75">
      <c r="P155" s="116"/>
      <c r="Q155" s="116"/>
      <c r="R155" s="143"/>
      <c r="S155" s="144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20"/>
      <c r="AD155" s="121"/>
      <c r="AE155" s="121"/>
      <c r="AF155" s="121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2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2"/>
      <c r="CI155" s="122"/>
      <c r="CJ155" s="122"/>
      <c r="CK155" s="122"/>
      <c r="CL155" s="122"/>
      <c r="CM155" s="122"/>
      <c r="CN155" s="122"/>
      <c r="CO155" s="122"/>
      <c r="CP155" s="122"/>
      <c r="CQ155" s="122"/>
      <c r="CR155" s="122"/>
      <c r="CS155" s="122"/>
      <c r="CT155" s="122"/>
      <c r="CU155" s="122"/>
      <c r="CV155" s="122"/>
      <c r="CW155" s="122"/>
      <c r="CX155" s="122"/>
      <c r="CY155" s="122"/>
      <c r="CZ155" s="122"/>
      <c r="DA155" s="122"/>
      <c r="DB155" s="122"/>
      <c r="DC155" s="122"/>
      <c r="DD155" s="122"/>
    </row>
    <row r="156" spans="16:108" ht="15.75">
      <c r="P156" s="116"/>
      <c r="Q156" s="116"/>
      <c r="R156" s="143"/>
      <c r="S156" s="144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20"/>
      <c r="AD156" s="121"/>
      <c r="AE156" s="121"/>
      <c r="AF156" s="121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22"/>
      <c r="CJ156" s="122"/>
      <c r="CK156" s="122"/>
      <c r="CL156" s="122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22"/>
      <c r="DD156" s="122"/>
    </row>
    <row r="157" spans="16:61" ht="15.75">
      <c r="P157" s="116"/>
      <c r="Q157" s="116"/>
      <c r="R157" s="143"/>
      <c r="S157" s="144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20"/>
      <c r="AD157" s="121"/>
      <c r="AE157" s="121"/>
      <c r="AF157" s="121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</row>
    <row r="158" spans="16:61" ht="15.75">
      <c r="P158" s="116"/>
      <c r="Q158" s="116"/>
      <c r="R158" s="143"/>
      <c r="S158" s="144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20"/>
      <c r="AD158" s="121"/>
      <c r="AE158" s="121"/>
      <c r="AF158" s="121"/>
      <c r="AG158" s="122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122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  <c r="BG158" s="122"/>
      <c r="BH158" s="122"/>
      <c r="BI158" s="122"/>
    </row>
    <row r="159" spans="16:61" ht="15.75">
      <c r="P159" s="116"/>
      <c r="Q159" s="116"/>
      <c r="R159" s="143"/>
      <c r="S159" s="144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20"/>
      <c r="AD159" s="121"/>
      <c r="AE159" s="121"/>
      <c r="AF159" s="121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</row>
    <row r="160" spans="16:61" ht="15.75">
      <c r="P160" s="116"/>
      <c r="Q160" s="116"/>
      <c r="R160" s="143"/>
      <c r="S160" s="144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20"/>
      <c r="AD160" s="121"/>
      <c r="AE160" s="121"/>
      <c r="AF160" s="121"/>
      <c r="AG160" s="122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2"/>
    </row>
    <row r="161" spans="16:61" ht="15.75">
      <c r="P161" s="116"/>
      <c r="Q161" s="116"/>
      <c r="R161" s="143"/>
      <c r="S161" s="144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20"/>
      <c r="AD161" s="121"/>
      <c r="AE161" s="121"/>
      <c r="AF161" s="121"/>
      <c r="AG161" s="122"/>
      <c r="AH161" s="122"/>
      <c r="AI161" s="122"/>
      <c r="AJ161" s="122"/>
      <c r="AK161" s="122"/>
      <c r="AL161" s="122"/>
      <c r="AM161" s="122"/>
      <c r="AN161" s="122"/>
      <c r="AO161" s="122"/>
      <c r="AP161" s="122"/>
      <c r="AQ161" s="122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  <c r="BG161" s="122"/>
      <c r="BH161" s="122"/>
      <c r="BI161" s="122"/>
    </row>
    <row r="162" spans="16:61" ht="15.75">
      <c r="P162" s="116"/>
      <c r="Q162" s="116"/>
      <c r="R162" s="143"/>
      <c r="S162" s="144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20"/>
      <c r="AD162" s="121"/>
      <c r="AE162" s="121"/>
      <c r="AF162" s="121"/>
      <c r="AG162" s="122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  <c r="BG162" s="122"/>
      <c r="BH162" s="122"/>
      <c r="BI162" s="122"/>
    </row>
    <row r="163" spans="16:61" ht="15.75">
      <c r="P163" s="116"/>
      <c r="Q163" s="116"/>
      <c r="R163" s="143"/>
      <c r="S163" s="144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20"/>
      <c r="AD163" s="121"/>
      <c r="AE163" s="121"/>
      <c r="AF163" s="121"/>
      <c r="AG163" s="122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122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  <c r="BG163" s="122"/>
      <c r="BH163" s="122"/>
      <c r="BI163" s="122"/>
    </row>
    <row r="164" spans="16:61" ht="15.75">
      <c r="P164" s="116"/>
      <c r="Q164" s="116"/>
      <c r="R164" s="143"/>
      <c r="S164" s="144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20"/>
      <c r="AD164" s="121"/>
      <c r="AE164" s="121"/>
      <c r="AF164" s="121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</row>
    <row r="165" spans="16:61" ht="15.75">
      <c r="P165" s="116"/>
      <c r="Q165" s="116"/>
      <c r="R165" s="143"/>
      <c r="S165" s="144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20"/>
      <c r="AD165" s="121"/>
      <c r="AE165" s="121"/>
      <c r="AF165" s="121"/>
      <c r="AG165" s="122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  <c r="BG165" s="122"/>
      <c r="BH165" s="122"/>
      <c r="BI165" s="122"/>
    </row>
    <row r="166" spans="16:61" ht="15.75">
      <c r="P166" s="116"/>
      <c r="Q166" s="116"/>
      <c r="R166" s="143"/>
      <c r="S166" s="144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20"/>
      <c r="AD166" s="121"/>
      <c r="AE166" s="121"/>
      <c r="AF166" s="121"/>
      <c r="AG166" s="122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</row>
    <row r="167" spans="16:61" ht="15.75">
      <c r="P167" s="116"/>
      <c r="Q167" s="116"/>
      <c r="R167" s="143"/>
      <c r="S167" s="144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20"/>
      <c r="AD167" s="121"/>
      <c r="AE167" s="121"/>
      <c r="AF167" s="121"/>
      <c r="AG167" s="122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122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  <c r="BG167" s="122"/>
      <c r="BH167" s="122"/>
      <c r="BI167" s="122"/>
    </row>
    <row r="168" spans="16:61" ht="15.75">
      <c r="P168" s="116"/>
      <c r="Q168" s="116"/>
      <c r="R168" s="143"/>
      <c r="S168" s="144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20"/>
      <c r="AD168" s="121"/>
      <c r="AE168" s="121"/>
      <c r="AF168" s="121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2"/>
    </row>
    <row r="169" spans="16:61" ht="15.75">
      <c r="P169" s="116"/>
      <c r="Q169" s="116"/>
      <c r="R169" s="143"/>
      <c r="S169" s="144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20"/>
      <c r="AD169" s="121"/>
      <c r="AE169" s="121"/>
      <c r="AF169" s="121"/>
      <c r="AG169" s="122"/>
      <c r="AH169" s="122"/>
      <c r="AI169" s="122"/>
      <c r="AJ169" s="122"/>
      <c r="AK169" s="122"/>
      <c r="AL169" s="122"/>
      <c r="AM169" s="122"/>
      <c r="AN169" s="122"/>
      <c r="AO169" s="122"/>
      <c r="AP169" s="122"/>
      <c r="AQ169" s="122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  <c r="BG169" s="122"/>
      <c r="BH169" s="122"/>
      <c r="BI169" s="122"/>
    </row>
    <row r="170" spans="16:61" ht="15.75">
      <c r="P170" s="116"/>
      <c r="Q170" s="116"/>
      <c r="R170" s="143"/>
      <c r="S170" s="144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20"/>
      <c r="AD170" s="121"/>
      <c r="AE170" s="121"/>
      <c r="AF170" s="121"/>
      <c r="AG170" s="122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122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  <c r="BG170" s="122"/>
      <c r="BH170" s="122"/>
      <c r="BI170" s="122"/>
    </row>
    <row r="171" spans="16:61" ht="15.75">
      <c r="P171" s="116"/>
      <c r="Q171" s="116"/>
      <c r="R171" s="143"/>
      <c r="S171" s="144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20"/>
      <c r="AD171" s="121"/>
      <c r="AE171" s="121"/>
      <c r="AF171" s="121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  <c r="BG171" s="122"/>
      <c r="BH171" s="122"/>
      <c r="BI171" s="122"/>
    </row>
    <row r="172" spans="16:61" ht="15.75">
      <c r="P172" s="116"/>
      <c r="Q172" s="116"/>
      <c r="R172" s="143"/>
      <c r="S172" s="144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20"/>
      <c r="AD172" s="121"/>
      <c r="AE172" s="121"/>
      <c r="AF172" s="121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  <c r="BG172" s="122"/>
      <c r="BH172" s="122"/>
      <c r="BI172" s="122"/>
    </row>
    <row r="173" spans="16:61" ht="15.75">
      <c r="P173" s="116"/>
      <c r="Q173" s="116"/>
      <c r="R173" s="143"/>
      <c r="S173" s="144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20"/>
      <c r="AD173" s="121"/>
      <c r="AE173" s="121"/>
      <c r="AF173" s="121"/>
      <c r="AG173" s="122"/>
      <c r="AH173" s="122"/>
      <c r="AI173" s="122"/>
      <c r="AJ173" s="122"/>
      <c r="AK173" s="122"/>
      <c r="AL173" s="122"/>
      <c r="AM173" s="122"/>
      <c r="AN173" s="122"/>
      <c r="AO173" s="122"/>
      <c r="AP173" s="122"/>
      <c r="AQ173" s="122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  <c r="BG173" s="122"/>
      <c r="BH173" s="122"/>
      <c r="BI173" s="122"/>
    </row>
    <row r="174" spans="16:61" ht="15.75">
      <c r="P174" s="116"/>
      <c r="Q174" s="116"/>
      <c r="R174" s="143"/>
      <c r="S174" s="144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20"/>
      <c r="AD174" s="121"/>
      <c r="AE174" s="121"/>
      <c r="AF174" s="121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  <c r="BG174" s="122"/>
      <c r="BH174" s="122"/>
      <c r="BI174" s="122"/>
    </row>
    <row r="175" spans="16:61" ht="15.75">
      <c r="P175" s="116"/>
      <c r="Q175" s="116"/>
      <c r="R175" s="143"/>
      <c r="S175" s="144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20"/>
      <c r="AD175" s="121"/>
      <c r="AE175" s="121"/>
      <c r="AF175" s="121"/>
      <c r="AG175" s="122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122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  <c r="BG175" s="122"/>
      <c r="BH175" s="122"/>
      <c r="BI175" s="122"/>
    </row>
    <row r="176" spans="16:61" ht="15.75">
      <c r="P176" s="116"/>
      <c r="Q176" s="116"/>
      <c r="R176" s="143"/>
      <c r="S176" s="144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20"/>
      <c r="AD176" s="121"/>
      <c r="AE176" s="121"/>
      <c r="AF176" s="121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  <c r="BG176" s="122"/>
      <c r="BH176" s="122"/>
      <c r="BI176" s="122"/>
    </row>
    <row r="177" spans="16:61" ht="15.75">
      <c r="P177" s="116"/>
      <c r="Q177" s="116"/>
      <c r="R177" s="143"/>
      <c r="S177" s="144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20"/>
      <c r="AD177" s="121"/>
      <c r="AE177" s="121"/>
      <c r="AF177" s="121"/>
      <c r="AG177" s="122"/>
      <c r="AH177" s="122"/>
      <c r="AI177" s="122"/>
      <c r="AJ177" s="122"/>
      <c r="AK177" s="122"/>
      <c r="AL177" s="122"/>
      <c r="AM177" s="122"/>
      <c r="AN177" s="122"/>
      <c r="AO177" s="122"/>
      <c r="AP177" s="122"/>
      <c r="AQ177" s="122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  <c r="BG177" s="122"/>
      <c r="BH177" s="122"/>
      <c r="BI177" s="122"/>
    </row>
    <row r="178" spans="16:61" ht="15.75">
      <c r="P178" s="116"/>
      <c r="Q178" s="116"/>
      <c r="R178" s="143"/>
      <c r="S178" s="144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20"/>
      <c r="AD178" s="121"/>
      <c r="AE178" s="121"/>
      <c r="AF178" s="121"/>
      <c r="AG178" s="122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122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  <c r="BG178" s="122"/>
      <c r="BH178" s="122"/>
      <c r="BI178" s="122"/>
    </row>
    <row r="179" spans="16:61" ht="15.75">
      <c r="P179" s="116"/>
      <c r="Q179" s="116"/>
      <c r="R179" s="143"/>
      <c r="S179" s="144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20"/>
      <c r="AD179" s="121"/>
      <c r="AE179" s="121"/>
      <c r="AF179" s="121"/>
      <c r="AG179" s="122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122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  <c r="BG179" s="122"/>
      <c r="BH179" s="122"/>
      <c r="BI179" s="122"/>
    </row>
    <row r="180" spans="16:61" ht="15.75">
      <c r="P180" s="116"/>
      <c r="Q180" s="116"/>
      <c r="R180" s="143"/>
      <c r="S180" s="144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20"/>
      <c r="AD180" s="121"/>
      <c r="AE180" s="121"/>
      <c r="AF180" s="121"/>
      <c r="AG180" s="122"/>
      <c r="AH180" s="122"/>
      <c r="AI180" s="122"/>
      <c r="AJ180" s="122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</row>
    <row r="181" spans="16:61" ht="15.75">
      <c r="P181" s="116"/>
      <c r="Q181" s="116"/>
      <c r="R181" s="143"/>
      <c r="S181" s="144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20"/>
      <c r="AD181" s="121"/>
      <c r="AE181" s="121"/>
      <c r="AF181" s="121"/>
      <c r="AG181" s="122"/>
      <c r="AH181" s="122"/>
      <c r="AI181" s="122"/>
      <c r="AJ181" s="122"/>
      <c r="AK181" s="122"/>
      <c r="AL181" s="122"/>
      <c r="AM181" s="122"/>
      <c r="AN181" s="122"/>
      <c r="AO181" s="122"/>
      <c r="AP181" s="122"/>
      <c r="AQ181" s="122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  <c r="BG181" s="122"/>
      <c r="BH181" s="122"/>
      <c r="BI181" s="122"/>
    </row>
    <row r="182" spans="16:61" ht="15.75">
      <c r="P182" s="116"/>
      <c r="Q182" s="116"/>
      <c r="R182" s="143"/>
      <c r="S182" s="144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20"/>
      <c r="AD182" s="121"/>
      <c r="AE182" s="121"/>
      <c r="AF182" s="121"/>
      <c r="AG182" s="122"/>
      <c r="AH182" s="122"/>
      <c r="AI182" s="122"/>
      <c r="AJ182" s="122"/>
      <c r="AK182" s="122"/>
      <c r="AL182" s="122"/>
      <c r="AM182" s="122"/>
      <c r="AN182" s="122"/>
      <c r="AO182" s="122"/>
      <c r="AP182" s="122"/>
      <c r="AQ182" s="122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  <c r="BG182" s="122"/>
      <c r="BH182" s="122"/>
      <c r="BI182" s="122"/>
    </row>
    <row r="183" spans="16:61" ht="15.75">
      <c r="P183" s="116"/>
      <c r="Q183" s="116"/>
      <c r="R183" s="143"/>
      <c r="S183" s="144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20"/>
      <c r="AD183" s="121"/>
      <c r="AE183" s="121"/>
      <c r="AF183" s="121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/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</row>
    <row r="184" spans="16:61" ht="15.75">
      <c r="P184" s="116"/>
      <c r="Q184" s="116"/>
      <c r="R184" s="143"/>
      <c r="S184" s="144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20"/>
      <c r="AD184" s="121"/>
      <c r="AE184" s="121"/>
      <c r="AF184" s="121"/>
      <c r="AG184" s="122"/>
      <c r="AH184" s="122"/>
      <c r="AI184" s="122"/>
      <c r="AJ184" s="122"/>
      <c r="AK184" s="122"/>
      <c r="AL184" s="122"/>
      <c r="AM184" s="122"/>
      <c r="AN184" s="122"/>
      <c r="AO184" s="122"/>
      <c r="AP184" s="122"/>
      <c r="AQ184" s="122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  <c r="BG184" s="122"/>
      <c r="BH184" s="122"/>
      <c r="BI184" s="122"/>
    </row>
    <row r="185" spans="16:61" ht="15.75">
      <c r="P185" s="116"/>
      <c r="Q185" s="116"/>
      <c r="R185" s="143"/>
      <c r="S185" s="144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20"/>
      <c r="AD185" s="121"/>
      <c r="AE185" s="121"/>
      <c r="AF185" s="121"/>
      <c r="AG185" s="122"/>
      <c r="AH185" s="122"/>
      <c r="AI185" s="122"/>
      <c r="AJ185" s="122"/>
      <c r="AK185" s="122"/>
      <c r="AL185" s="122"/>
      <c r="AM185" s="122"/>
      <c r="AN185" s="122"/>
      <c r="AO185" s="122"/>
      <c r="AP185" s="122"/>
      <c r="AQ185" s="122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</row>
    <row r="186" spans="16:61" ht="15.75">
      <c r="P186" s="116"/>
      <c r="Q186" s="116"/>
      <c r="R186" s="143"/>
      <c r="S186" s="144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20"/>
      <c r="AD186" s="121"/>
      <c r="AE186" s="121"/>
      <c r="AF186" s="121"/>
      <c r="AG186" s="122"/>
      <c r="AH186" s="122"/>
      <c r="AI186" s="122"/>
      <c r="AJ186" s="122"/>
      <c r="AK186" s="122"/>
      <c r="AL186" s="122"/>
      <c r="AM186" s="122"/>
      <c r="AN186" s="122"/>
      <c r="AO186" s="122"/>
      <c r="AP186" s="122"/>
      <c r="AQ186" s="122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  <c r="BG186" s="122"/>
      <c r="BH186" s="122"/>
      <c r="BI186" s="122"/>
    </row>
    <row r="187" spans="16:61" ht="15.75">
      <c r="P187" s="116"/>
      <c r="Q187" s="116"/>
      <c r="R187" s="143"/>
      <c r="S187" s="144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20"/>
      <c r="AD187" s="121"/>
      <c r="AE187" s="121"/>
      <c r="AF187" s="121"/>
      <c r="AG187" s="122"/>
      <c r="AH187" s="122"/>
      <c r="AI187" s="122"/>
      <c r="AJ187" s="122"/>
      <c r="AK187" s="122"/>
      <c r="AL187" s="122"/>
      <c r="AM187" s="122"/>
      <c r="AN187" s="122"/>
      <c r="AO187" s="122"/>
      <c r="AP187" s="122"/>
      <c r="AQ187" s="122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  <c r="BG187" s="122"/>
      <c r="BH187" s="122"/>
      <c r="BI187" s="122"/>
    </row>
    <row r="188" spans="1:61" ht="15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65"/>
      <c r="P188" s="116"/>
      <c r="Q188" s="116"/>
      <c r="R188" s="143"/>
      <c r="S188" s="144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20"/>
      <c r="AD188" s="121"/>
      <c r="AE188" s="121"/>
      <c r="AF188" s="121"/>
      <c r="AG188" s="122"/>
      <c r="AH188" s="122"/>
      <c r="AI188" s="122"/>
      <c r="AJ188" s="122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  <c r="BG188" s="122"/>
      <c r="BH188" s="122"/>
      <c r="BI188" s="122"/>
    </row>
    <row r="189" spans="1:61" ht="15.75">
      <c r="A189" s="47"/>
      <c r="B189" s="47"/>
      <c r="C189" s="83"/>
      <c r="D189" s="47"/>
      <c r="E189" s="47"/>
      <c r="F189" s="47"/>
      <c r="G189" s="47"/>
      <c r="H189" s="47"/>
      <c r="I189" s="48"/>
      <c r="J189" s="47"/>
      <c r="K189" s="47"/>
      <c r="L189" s="47"/>
      <c r="M189" s="47"/>
      <c r="N189" s="65"/>
      <c r="O189" s="43"/>
      <c r="P189" s="116"/>
      <c r="Q189" s="116"/>
      <c r="R189" s="143"/>
      <c r="S189" s="144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20"/>
      <c r="AD189" s="121"/>
      <c r="AE189" s="121"/>
      <c r="AF189" s="121"/>
      <c r="AG189" s="122"/>
      <c r="AH189" s="122"/>
      <c r="AI189" s="122"/>
      <c r="AJ189" s="122"/>
      <c r="AK189" s="122"/>
      <c r="AL189" s="122"/>
      <c r="AM189" s="122"/>
      <c r="AN189" s="122"/>
      <c r="AO189" s="122"/>
      <c r="AP189" s="122"/>
      <c r="AQ189" s="122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  <c r="BG189" s="122"/>
      <c r="BH189" s="122"/>
      <c r="BI189" s="122"/>
    </row>
    <row r="190" spans="1:61" ht="41.25" customHeight="1">
      <c r="A190" s="47"/>
      <c r="B190" s="99"/>
      <c r="C190" s="95" t="str">
        <f>Begriffe!B81</f>
        <v>                                 Eingabe der Daten für besohlte Schwellen</v>
      </c>
      <c r="D190" s="96"/>
      <c r="E190" s="96"/>
      <c r="F190" s="96"/>
      <c r="G190" s="96"/>
      <c r="H190" s="97"/>
      <c r="I190" s="96"/>
      <c r="J190" s="97"/>
      <c r="K190" s="97"/>
      <c r="L190" s="96"/>
      <c r="M190" s="47"/>
      <c r="N190" s="65"/>
      <c r="O190" s="43"/>
      <c r="P190" s="116"/>
      <c r="Q190" s="116"/>
      <c r="R190" s="143"/>
      <c r="S190" s="144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20"/>
      <c r="AD190" s="121"/>
      <c r="AE190" s="121"/>
      <c r="AF190" s="121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</row>
    <row r="191" spans="1:61" ht="15.75">
      <c r="A191" s="47"/>
      <c r="B191" s="47"/>
      <c r="C191" s="83"/>
      <c r="D191" s="47"/>
      <c r="E191" s="47"/>
      <c r="F191" s="47"/>
      <c r="G191" s="47"/>
      <c r="H191" s="47"/>
      <c r="I191" s="48"/>
      <c r="J191" s="47"/>
      <c r="K191" s="47"/>
      <c r="L191" s="47"/>
      <c r="M191" s="47"/>
      <c r="N191" s="65"/>
      <c r="O191" s="43"/>
      <c r="P191" s="116"/>
      <c r="Q191" s="116"/>
      <c r="R191" s="143"/>
      <c r="S191" s="144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20"/>
      <c r="AD191" s="121"/>
      <c r="AE191" s="121"/>
      <c r="AF191" s="121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</row>
    <row r="192" spans="1:61" ht="15.75">
      <c r="A192" s="47"/>
      <c r="B192" s="47"/>
      <c r="C192" s="83"/>
      <c r="D192" s="47"/>
      <c r="E192" s="47"/>
      <c r="F192" s="47"/>
      <c r="G192" s="47"/>
      <c r="H192" s="47"/>
      <c r="I192" s="48"/>
      <c r="J192" s="47"/>
      <c r="K192" s="47"/>
      <c r="L192" s="47"/>
      <c r="M192" s="47"/>
      <c r="N192" s="65"/>
      <c r="O192" s="43"/>
      <c r="P192" s="116"/>
      <c r="Q192" s="116"/>
      <c r="R192" s="143"/>
      <c r="S192" s="144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20"/>
      <c r="AD192" s="121"/>
      <c r="AE192" s="121"/>
      <c r="AF192" s="121"/>
      <c r="AG192" s="122"/>
      <c r="AH192" s="122"/>
      <c r="AI192" s="122"/>
      <c r="AJ192" s="122"/>
      <c r="AK192" s="122"/>
      <c r="AL192" s="122"/>
      <c r="AM192" s="122"/>
      <c r="AN192" s="122"/>
      <c r="AO192" s="122"/>
      <c r="AP192" s="122"/>
      <c r="AQ192" s="122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  <c r="BG192" s="122"/>
      <c r="BH192" s="122"/>
      <c r="BI192" s="122"/>
    </row>
    <row r="193" spans="1:61" ht="15.75">
      <c r="A193" s="47"/>
      <c r="B193" s="47"/>
      <c r="C193" s="83"/>
      <c r="D193" s="47"/>
      <c r="E193" s="47"/>
      <c r="F193" s="47"/>
      <c r="G193" s="47"/>
      <c r="H193" s="47"/>
      <c r="I193" s="48"/>
      <c r="J193" s="47"/>
      <c r="K193" s="47"/>
      <c r="L193" s="47"/>
      <c r="M193" s="47"/>
      <c r="N193" s="65"/>
      <c r="O193" s="43"/>
      <c r="P193" s="116"/>
      <c r="Q193" s="116"/>
      <c r="R193" s="143"/>
      <c r="S193" s="144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20"/>
      <c r="AD193" s="121"/>
      <c r="AE193" s="121"/>
      <c r="AF193" s="121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  <c r="BG193" s="122"/>
      <c r="BH193" s="122"/>
      <c r="BI193" s="122"/>
    </row>
    <row r="194" spans="1:61" ht="15.75">
      <c r="A194" s="47"/>
      <c r="B194" s="47"/>
      <c r="C194" s="83"/>
      <c r="D194" s="47"/>
      <c r="E194" s="47"/>
      <c r="F194" s="47"/>
      <c r="G194" s="47"/>
      <c r="H194" s="47"/>
      <c r="I194" s="48"/>
      <c r="J194" s="47"/>
      <c r="K194" s="47"/>
      <c r="L194" s="47"/>
      <c r="M194" s="47"/>
      <c r="N194" s="65"/>
      <c r="O194" s="43"/>
      <c r="P194" s="116"/>
      <c r="Q194" s="116"/>
      <c r="R194" s="143"/>
      <c r="S194" s="144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20"/>
      <c r="AD194" s="121"/>
      <c r="AE194" s="121"/>
      <c r="AF194" s="121"/>
      <c r="AG194" s="122"/>
      <c r="AH194" s="122"/>
      <c r="AI194" s="122"/>
      <c r="AJ194" s="122"/>
      <c r="AK194" s="122"/>
      <c r="AL194" s="122"/>
      <c r="AM194" s="122"/>
      <c r="AN194" s="122"/>
      <c r="AO194" s="122"/>
      <c r="AP194" s="122"/>
      <c r="AQ194" s="122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  <c r="BG194" s="122"/>
      <c r="BH194" s="122"/>
      <c r="BI194" s="122"/>
    </row>
    <row r="195" spans="1:61" ht="15.75">
      <c r="A195" s="47"/>
      <c r="B195" s="47"/>
      <c r="C195" s="83" t="str">
        <f>Begriffe!B70</f>
        <v>Verkehrsfaktor .</v>
      </c>
      <c r="D195" s="83"/>
      <c r="E195" s="47"/>
      <c r="F195" s="47"/>
      <c r="G195" s="47"/>
      <c r="H195" s="47"/>
      <c r="I195" s="48"/>
      <c r="J195" s="87">
        <f>O195/100</f>
        <v>0.66</v>
      </c>
      <c r="K195" s="47"/>
      <c r="L195" s="47"/>
      <c r="M195" s="47"/>
      <c r="N195" s="65"/>
      <c r="O195" s="43">
        <v>66</v>
      </c>
      <c r="P195" s="116"/>
      <c r="Q195" s="116"/>
      <c r="R195" s="143"/>
      <c r="S195" s="144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20"/>
      <c r="AD195" s="121"/>
      <c r="AE195" s="121"/>
      <c r="AF195" s="121"/>
      <c r="AG195" s="122"/>
      <c r="AH195" s="122"/>
      <c r="AI195" s="122"/>
      <c r="AJ195" s="122"/>
      <c r="AK195" s="122"/>
      <c r="AL195" s="122"/>
      <c r="AM195" s="122"/>
      <c r="AN195" s="122"/>
      <c r="AO195" s="122"/>
      <c r="AP195" s="122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  <c r="BG195" s="122"/>
      <c r="BH195" s="122"/>
      <c r="BI195" s="122"/>
    </row>
    <row r="196" spans="1:61" ht="15.75">
      <c r="A196" s="47"/>
      <c r="B196" s="47"/>
      <c r="C196" s="60" t="str">
        <f>Begriffe!$B71</f>
        <v>Minderung des Einflusses besohlter gegenüber unbesohlter Schwellen</v>
      </c>
      <c r="D196" s="60"/>
      <c r="E196" s="60"/>
      <c r="F196" s="60"/>
      <c r="G196" s="60"/>
      <c r="H196" s="60"/>
      <c r="I196" s="48"/>
      <c r="J196" s="87"/>
      <c r="K196" s="47"/>
      <c r="L196" s="47"/>
      <c r="M196" s="47"/>
      <c r="N196" s="65"/>
      <c r="O196" s="43"/>
      <c r="P196" s="116"/>
      <c r="Q196" s="116"/>
      <c r="R196" s="143"/>
      <c r="S196" s="144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20"/>
      <c r="AD196" s="121"/>
      <c r="AE196" s="121"/>
      <c r="AF196" s="121"/>
      <c r="AG196" s="122"/>
      <c r="AH196" s="122"/>
      <c r="AI196" s="122"/>
      <c r="AJ196" s="122"/>
      <c r="AK196" s="122"/>
      <c r="AL196" s="122"/>
      <c r="AM196" s="122"/>
      <c r="AN196" s="122"/>
      <c r="AO196" s="122"/>
      <c r="AP196" s="122"/>
      <c r="AQ196" s="122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  <c r="BG196" s="122"/>
      <c r="BH196" s="122"/>
      <c r="BI196" s="122"/>
    </row>
    <row r="197" spans="1:61" ht="7.5" customHeight="1">
      <c r="A197" s="47"/>
      <c r="B197" s="47"/>
      <c r="C197" s="83"/>
      <c r="D197" s="47"/>
      <c r="E197" s="47"/>
      <c r="F197" s="47"/>
      <c r="G197" s="47"/>
      <c r="H197" s="47"/>
      <c r="I197" s="48"/>
      <c r="J197" s="87"/>
      <c r="K197" s="47"/>
      <c r="L197" s="47"/>
      <c r="M197" s="47"/>
      <c r="N197" s="65"/>
      <c r="O197" s="43"/>
      <c r="P197" s="116"/>
      <c r="Q197" s="116"/>
      <c r="R197" s="143"/>
      <c r="S197" s="144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20"/>
      <c r="AD197" s="121"/>
      <c r="AE197" s="121"/>
      <c r="AF197" s="121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  <c r="BG197" s="122"/>
      <c r="BH197" s="122"/>
      <c r="BI197" s="122"/>
    </row>
    <row r="198" spans="1:61" ht="15.75">
      <c r="A198" s="47"/>
      <c r="B198" s="47"/>
      <c r="C198" s="83" t="str">
        <f>Begriffe!$B72</f>
        <v>Einfluss der Schotterqualität </v>
      </c>
      <c r="D198" s="47"/>
      <c r="E198" s="47"/>
      <c r="F198" s="83"/>
      <c r="G198" s="101"/>
      <c r="H198" s="47"/>
      <c r="I198" s="48"/>
      <c r="J198" s="87">
        <f>O198/100</f>
        <v>0.66</v>
      </c>
      <c r="K198" s="47"/>
      <c r="L198" s="47"/>
      <c r="M198" s="47"/>
      <c r="N198" s="65"/>
      <c r="O198" s="43">
        <v>66</v>
      </c>
      <c r="P198" s="116"/>
      <c r="Q198" s="116"/>
      <c r="R198" s="143"/>
      <c r="S198" s="144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20"/>
      <c r="AD198" s="121"/>
      <c r="AE198" s="121"/>
      <c r="AF198" s="121"/>
      <c r="AG198" s="122"/>
      <c r="AH198" s="122"/>
      <c r="AI198" s="122"/>
      <c r="AJ198" s="122"/>
      <c r="AK198" s="122"/>
      <c r="AL198" s="122"/>
      <c r="AM198" s="122"/>
      <c r="AN198" s="122"/>
      <c r="AO198" s="122"/>
      <c r="AP198" s="122"/>
      <c r="AQ198" s="122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  <c r="BG198" s="122"/>
      <c r="BH198" s="122"/>
      <c r="BI198" s="122"/>
    </row>
    <row r="199" spans="1:61" ht="15.75">
      <c r="A199" s="47"/>
      <c r="B199" s="47"/>
      <c r="C199" s="60" t="str">
        <f>Begriffe!$B73</f>
        <v>Minderung des Einflusses auf Schottersorte (Kalk- /Hartstein) bei Sohleneinsatz</v>
      </c>
      <c r="D199" s="60"/>
      <c r="E199" s="60"/>
      <c r="F199" s="60"/>
      <c r="G199" s="60"/>
      <c r="H199" s="60"/>
      <c r="I199" s="106"/>
      <c r="J199" s="87"/>
      <c r="K199" s="47"/>
      <c r="L199" s="47"/>
      <c r="M199" s="47"/>
      <c r="N199" s="65"/>
      <c r="O199" s="43"/>
      <c r="P199" s="116"/>
      <c r="Q199" s="116"/>
      <c r="R199" s="143"/>
      <c r="S199" s="144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20"/>
      <c r="AD199" s="121"/>
      <c r="AE199" s="121"/>
      <c r="AF199" s="121"/>
      <c r="AG199" s="122"/>
      <c r="AH199" s="122"/>
      <c r="AI199" s="122"/>
      <c r="AJ199" s="122"/>
      <c r="AK199" s="122"/>
      <c r="AL199" s="122"/>
      <c r="AM199" s="122"/>
      <c r="AN199" s="122"/>
      <c r="AO199" s="122"/>
      <c r="AP199" s="122"/>
      <c r="AQ199" s="122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  <c r="BG199" s="122"/>
      <c r="BH199" s="122"/>
      <c r="BI199" s="122"/>
    </row>
    <row r="200" spans="1:61" ht="7.5" customHeight="1">
      <c r="A200" s="47"/>
      <c r="B200" s="47"/>
      <c r="C200" s="100"/>
      <c r="D200" s="47"/>
      <c r="E200" s="47"/>
      <c r="F200" s="47"/>
      <c r="G200" s="47"/>
      <c r="H200" s="47"/>
      <c r="I200" s="48"/>
      <c r="J200" s="87"/>
      <c r="K200" s="47"/>
      <c r="L200" s="47"/>
      <c r="M200" s="47"/>
      <c r="N200" s="65"/>
      <c r="O200" s="43"/>
      <c r="P200" s="116"/>
      <c r="Q200" s="116"/>
      <c r="R200" s="143"/>
      <c r="S200" s="144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20"/>
      <c r="AD200" s="121"/>
      <c r="AE200" s="121"/>
      <c r="AF200" s="121"/>
      <c r="AG200" s="122"/>
      <c r="AH200" s="122"/>
      <c r="AI200" s="122"/>
      <c r="AJ200" s="122"/>
      <c r="AK200" s="122"/>
      <c r="AL200" s="122"/>
      <c r="AM200" s="122"/>
      <c r="AN200" s="122"/>
      <c r="AO200" s="122"/>
      <c r="AP200" s="122"/>
      <c r="AQ200" s="122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  <c r="BG200" s="122"/>
      <c r="BH200" s="122"/>
      <c r="BI200" s="122"/>
    </row>
    <row r="201" spans="1:61" ht="15.75">
      <c r="A201" s="47"/>
      <c r="B201" s="47"/>
      <c r="C201" s="83" t="str">
        <f>Begriffe!$B74</f>
        <v>Einfluss der Belastung in LT/Jahr ........................................................................................................................</v>
      </c>
      <c r="D201" s="47"/>
      <c r="E201" s="47"/>
      <c r="F201" s="47"/>
      <c r="G201" s="47"/>
      <c r="H201" s="47"/>
      <c r="I201" s="48"/>
      <c r="J201" s="87">
        <f>O201/100</f>
        <v>0.67</v>
      </c>
      <c r="K201" s="47"/>
      <c r="L201" s="47"/>
      <c r="M201" s="47"/>
      <c r="N201" s="65"/>
      <c r="O201" s="43">
        <v>67</v>
      </c>
      <c r="P201" s="116"/>
      <c r="Q201" s="116"/>
      <c r="R201" s="143"/>
      <c r="S201" s="144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20"/>
      <c r="AD201" s="121"/>
      <c r="AE201" s="121"/>
      <c r="AF201" s="121"/>
      <c r="AG201" s="122"/>
      <c r="AH201" s="122"/>
      <c r="AI201" s="122"/>
      <c r="AJ201" s="122"/>
      <c r="AK201" s="122"/>
      <c r="AL201" s="122"/>
      <c r="AM201" s="122"/>
      <c r="AN201" s="122"/>
      <c r="AO201" s="122"/>
      <c r="AP201" s="122"/>
      <c r="AQ201" s="122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  <c r="BG201" s="122"/>
      <c r="BH201" s="122"/>
      <c r="BI201" s="122"/>
    </row>
    <row r="202" spans="1:42" ht="15.75">
      <c r="A202" s="47"/>
      <c r="B202" s="47"/>
      <c r="C202" s="55" t="str">
        <f>Begriffe!$B75</f>
        <v>Minderung des Einflusses besohlter gegenüber unbesohlter Schwellen</v>
      </c>
      <c r="D202" s="55"/>
      <c r="E202" s="55"/>
      <c r="F202" s="55"/>
      <c r="G202" s="55"/>
      <c r="H202" s="55"/>
      <c r="I202" s="48"/>
      <c r="J202" s="102"/>
      <c r="K202" s="47"/>
      <c r="L202" s="47"/>
      <c r="M202" s="47"/>
      <c r="N202" s="65"/>
      <c r="O202" s="43"/>
      <c r="Q202" s="76"/>
      <c r="R202" s="77"/>
      <c r="S202" s="107"/>
      <c r="T202" s="108"/>
      <c r="U202" s="108"/>
      <c r="V202" s="108"/>
      <c r="W202" s="108"/>
      <c r="X202" s="108"/>
      <c r="Y202" s="108"/>
      <c r="Z202" s="108"/>
      <c r="AA202" s="108"/>
      <c r="AB202" s="79"/>
      <c r="AC202" s="80"/>
      <c r="AD202" s="81"/>
      <c r="AE202" s="81"/>
      <c r="AF202" s="81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</row>
    <row r="203" spans="1:42" ht="8.25" customHeight="1">
      <c r="A203" s="47"/>
      <c r="B203" s="47"/>
      <c r="C203" s="83"/>
      <c r="D203" s="47"/>
      <c r="E203" s="47"/>
      <c r="F203" s="47"/>
      <c r="G203" s="47"/>
      <c r="H203" s="47"/>
      <c r="I203" s="48"/>
      <c r="J203" s="87"/>
      <c r="K203" s="47"/>
      <c r="L203" s="47"/>
      <c r="M203" s="47"/>
      <c r="N203" s="65"/>
      <c r="O203" s="43"/>
      <c r="Q203" s="76"/>
      <c r="R203" s="77"/>
      <c r="S203" s="107"/>
      <c r="T203" s="108"/>
      <c r="U203" s="108"/>
      <c r="V203" s="108"/>
      <c r="W203" s="108"/>
      <c r="X203" s="108"/>
      <c r="Y203" s="108"/>
      <c r="Z203" s="108"/>
      <c r="AA203" s="108"/>
      <c r="AB203" s="79"/>
      <c r="AC203" s="80"/>
      <c r="AD203" s="81"/>
      <c r="AE203" s="81"/>
      <c r="AF203" s="81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</row>
    <row r="204" spans="1:42" ht="15.75">
      <c r="A204" s="47"/>
      <c r="B204" s="47"/>
      <c r="C204" s="83" t="str">
        <f>Begriffe!$B76</f>
        <v>Reinigungszyklen für Schotter </v>
      </c>
      <c r="D204" s="47"/>
      <c r="E204" s="83"/>
      <c r="F204" s="47"/>
      <c r="G204" s="47"/>
      <c r="H204" s="47"/>
      <c r="I204" s="48"/>
      <c r="J204" s="103">
        <f>O204</f>
        <v>20</v>
      </c>
      <c r="K204" s="47" t="str">
        <f>Begriffe!$B69</f>
        <v>Jahre</v>
      </c>
      <c r="L204" s="47"/>
      <c r="M204" s="47"/>
      <c r="N204" s="65"/>
      <c r="O204" s="43">
        <v>20</v>
      </c>
      <c r="Q204" s="76"/>
      <c r="R204" s="77"/>
      <c r="S204" s="107"/>
      <c r="T204" s="108"/>
      <c r="U204" s="108"/>
      <c r="V204" s="108"/>
      <c r="W204" s="108"/>
      <c r="X204" s="108"/>
      <c r="Y204" s="108"/>
      <c r="Z204" s="108"/>
      <c r="AA204" s="108"/>
      <c r="AB204" s="79"/>
      <c r="AC204" s="80"/>
      <c r="AD204" s="81"/>
      <c r="AE204" s="81"/>
      <c r="AF204" s="81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</row>
    <row r="205" spans="1:42" ht="8.25" customHeight="1">
      <c r="A205" s="47"/>
      <c r="B205" s="47"/>
      <c r="C205" s="83"/>
      <c r="D205" s="47"/>
      <c r="E205" s="47"/>
      <c r="F205" s="47"/>
      <c r="G205" s="47"/>
      <c r="H205" s="47"/>
      <c r="I205" s="48"/>
      <c r="J205" s="103"/>
      <c r="K205" s="47"/>
      <c r="L205" s="47"/>
      <c r="M205" s="47"/>
      <c r="N205" s="65"/>
      <c r="O205" s="43"/>
      <c r="Q205" s="76"/>
      <c r="R205" s="77"/>
      <c r="S205" s="107"/>
      <c r="T205" s="108"/>
      <c r="U205" s="108"/>
      <c r="V205" s="108"/>
      <c r="W205" s="108"/>
      <c r="X205" s="108"/>
      <c r="Y205" s="108"/>
      <c r="Z205" s="108"/>
      <c r="AA205" s="108"/>
      <c r="AB205" s="79"/>
      <c r="AC205" s="80"/>
      <c r="AD205" s="81"/>
      <c r="AE205" s="81"/>
      <c r="AF205" s="81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</row>
    <row r="206" spans="1:42" ht="15.75">
      <c r="A206" s="47"/>
      <c r="B206" s="47"/>
      <c r="C206" s="83" t="str">
        <f>Begriffe!$B77</f>
        <v>Richten und Stopfen  Zyklus </v>
      </c>
      <c r="D206" s="47"/>
      <c r="E206" s="83"/>
      <c r="F206" s="47"/>
      <c r="G206" s="47"/>
      <c r="H206" s="47"/>
      <c r="I206" s="48"/>
      <c r="J206" s="103">
        <f>O206</f>
        <v>5</v>
      </c>
      <c r="K206" s="47" t="str">
        <f>K204</f>
        <v>Jahre</v>
      </c>
      <c r="L206" s="47"/>
      <c r="M206" s="47"/>
      <c r="N206" s="65"/>
      <c r="O206" s="43">
        <v>5</v>
      </c>
      <c r="Q206" s="76"/>
      <c r="R206" s="77"/>
      <c r="S206" s="107"/>
      <c r="T206" s="108"/>
      <c r="U206" s="108"/>
      <c r="V206" s="108"/>
      <c r="W206" s="108"/>
      <c r="X206" s="108"/>
      <c r="Y206" s="108"/>
      <c r="Z206" s="108"/>
      <c r="AA206" s="108"/>
      <c r="AB206" s="79"/>
      <c r="AC206" s="80"/>
      <c r="AD206" s="81"/>
      <c r="AE206" s="81"/>
      <c r="AF206" s="81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</row>
    <row r="207" spans="1:42" ht="9" customHeight="1">
      <c r="A207" s="47"/>
      <c r="B207" s="47"/>
      <c r="C207" s="83"/>
      <c r="D207" s="47"/>
      <c r="E207" s="47"/>
      <c r="F207" s="47"/>
      <c r="G207" s="47"/>
      <c r="H207" s="47"/>
      <c r="I207" s="48"/>
      <c r="J207" s="87"/>
      <c r="K207" s="47"/>
      <c r="L207" s="47"/>
      <c r="M207" s="47"/>
      <c r="N207" s="65"/>
      <c r="O207" s="43"/>
      <c r="Q207" s="76"/>
      <c r="R207" s="77"/>
      <c r="S207" s="107"/>
      <c r="T207" s="108"/>
      <c r="U207" s="108"/>
      <c r="V207" s="108"/>
      <c r="W207" s="108"/>
      <c r="X207" s="108"/>
      <c r="Y207" s="108"/>
      <c r="Z207" s="108"/>
      <c r="AA207" s="108"/>
      <c r="AB207" s="79"/>
      <c r="AC207" s="80"/>
      <c r="AD207" s="81"/>
      <c r="AE207" s="81"/>
      <c r="AF207" s="81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</row>
    <row r="208" spans="1:42" ht="15.75">
      <c r="A208" s="47"/>
      <c r="B208" s="47"/>
      <c r="C208" s="83" t="str">
        <f>Begriffe!$B78</f>
        <v>Schotteraustausch nach Jahren  </v>
      </c>
      <c r="D208" s="47"/>
      <c r="E208" s="83"/>
      <c r="F208" s="47"/>
      <c r="G208" s="47"/>
      <c r="H208" s="47"/>
      <c r="I208" s="48"/>
      <c r="J208" s="103">
        <f>O208</f>
        <v>40</v>
      </c>
      <c r="K208" s="47" t="str">
        <f>Begriffe!$B83</f>
        <v>Jahren</v>
      </c>
      <c r="L208" s="47"/>
      <c r="M208" s="47"/>
      <c r="N208" s="65"/>
      <c r="O208" s="43">
        <v>40</v>
      </c>
      <c r="Q208" s="76"/>
      <c r="R208" s="77"/>
      <c r="S208" s="107"/>
      <c r="T208" s="108"/>
      <c r="U208" s="108"/>
      <c r="V208" s="108"/>
      <c r="W208" s="108"/>
      <c r="X208" s="108"/>
      <c r="Y208" s="108"/>
      <c r="Z208" s="108"/>
      <c r="AA208" s="108"/>
      <c r="AB208" s="79"/>
      <c r="AC208" s="80"/>
      <c r="AD208" s="81"/>
      <c r="AE208" s="81"/>
      <c r="AF208" s="81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</row>
    <row r="209" spans="1:42" ht="8.25" customHeight="1">
      <c r="A209" s="47"/>
      <c r="B209" s="47"/>
      <c r="C209" s="83"/>
      <c r="D209" s="47"/>
      <c r="E209" s="47"/>
      <c r="F209" s="47"/>
      <c r="G209" s="47"/>
      <c r="H209" s="47"/>
      <c r="I209" s="48"/>
      <c r="J209" s="87"/>
      <c r="K209" s="47"/>
      <c r="L209" s="47"/>
      <c r="M209" s="47"/>
      <c r="N209" s="65"/>
      <c r="O209" s="43"/>
      <c r="Q209" s="76"/>
      <c r="R209" s="77"/>
      <c r="S209" s="107"/>
      <c r="T209" s="108"/>
      <c r="U209" s="108"/>
      <c r="V209" s="108"/>
      <c r="W209" s="108"/>
      <c r="X209" s="108"/>
      <c r="Y209" s="108"/>
      <c r="Z209" s="108"/>
      <c r="AA209" s="108"/>
      <c r="AB209" s="79"/>
      <c r="AC209" s="80"/>
      <c r="AD209" s="81"/>
      <c r="AE209" s="81"/>
      <c r="AF209" s="81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</row>
    <row r="210" spans="1:42" ht="15.75">
      <c r="A210" s="47"/>
      <c r="B210" s="47"/>
      <c r="C210" s="83" t="str">
        <f>Begriffe!$B79</f>
        <v>Schwellenaustausch nach Verschleiss...............................................................................................................................................................</v>
      </c>
      <c r="D210" s="47"/>
      <c r="E210" s="47"/>
      <c r="F210" s="47"/>
      <c r="G210" s="83"/>
      <c r="H210" s="47"/>
      <c r="I210" s="48"/>
      <c r="J210" s="103">
        <f>O210</f>
        <v>60</v>
      </c>
      <c r="K210" s="47" t="str">
        <f>K208</f>
        <v>Jahren</v>
      </c>
      <c r="L210" s="47"/>
      <c r="M210" s="47"/>
      <c r="N210" s="65"/>
      <c r="O210" s="43">
        <v>60</v>
      </c>
      <c r="Q210" s="76"/>
      <c r="R210" s="77"/>
      <c r="S210" s="107"/>
      <c r="T210" s="108"/>
      <c r="U210" s="108"/>
      <c r="V210" s="108"/>
      <c r="W210" s="108"/>
      <c r="X210" s="108"/>
      <c r="Y210" s="108"/>
      <c r="Z210" s="108"/>
      <c r="AA210" s="108"/>
      <c r="AB210" s="79"/>
      <c r="AC210" s="80"/>
      <c r="AD210" s="81"/>
      <c r="AE210" s="81"/>
      <c r="AF210" s="81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</row>
    <row r="211" spans="1:42" ht="6.75" customHeight="1">
      <c r="A211" s="47"/>
      <c r="B211" s="47"/>
      <c r="C211" s="83"/>
      <c r="D211" s="47"/>
      <c r="E211" s="47"/>
      <c r="F211" s="47"/>
      <c r="G211" s="47"/>
      <c r="H211" s="47"/>
      <c r="I211" s="48"/>
      <c r="J211" s="104"/>
      <c r="K211" s="47"/>
      <c r="L211" s="47"/>
      <c r="M211" s="47"/>
      <c r="N211" s="65"/>
      <c r="O211" s="43"/>
      <c r="Q211" s="76"/>
      <c r="R211" s="77"/>
      <c r="S211" s="107"/>
      <c r="T211" s="108"/>
      <c r="U211" s="108"/>
      <c r="V211" s="108"/>
      <c r="W211" s="108"/>
      <c r="X211" s="108"/>
      <c r="Y211" s="108"/>
      <c r="Z211" s="108"/>
      <c r="AA211" s="108"/>
      <c r="AB211" s="79"/>
      <c r="AC211" s="80"/>
      <c r="AD211" s="81"/>
      <c r="AE211" s="81"/>
      <c r="AF211" s="81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</row>
    <row r="212" spans="1:42" ht="15.75">
      <c r="A212" s="47"/>
      <c r="B212" s="47"/>
      <c r="C212" s="83" t="str">
        <f>Begriffe!$B80</f>
        <v>Schleifen nach .</v>
      </c>
      <c r="D212" s="47"/>
      <c r="E212" s="47"/>
      <c r="F212" s="47"/>
      <c r="G212" s="47"/>
      <c r="H212" s="47"/>
      <c r="I212" s="48"/>
      <c r="J212" s="103">
        <f>O212</f>
        <v>5</v>
      </c>
      <c r="K212" s="47" t="str">
        <f>K210</f>
        <v>Jahren</v>
      </c>
      <c r="L212" s="47"/>
      <c r="M212" s="47"/>
      <c r="N212" s="65"/>
      <c r="O212" s="43">
        <v>5</v>
      </c>
      <c r="Q212" s="76"/>
      <c r="R212" s="77"/>
      <c r="S212" s="107"/>
      <c r="T212" s="108"/>
      <c r="U212" s="108"/>
      <c r="V212" s="108"/>
      <c r="W212" s="108"/>
      <c r="X212" s="108"/>
      <c r="Y212" s="108"/>
      <c r="Z212" s="108"/>
      <c r="AA212" s="108"/>
      <c r="AB212" s="79"/>
      <c r="AC212" s="80"/>
      <c r="AD212" s="81"/>
      <c r="AE212" s="81"/>
      <c r="AF212" s="81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</row>
    <row r="213" spans="1:42" ht="7.5" customHeight="1">
      <c r="A213" s="47"/>
      <c r="B213" s="47"/>
      <c r="C213" s="83"/>
      <c r="D213" s="47"/>
      <c r="E213" s="47"/>
      <c r="F213" s="47"/>
      <c r="G213" s="47"/>
      <c r="H213" s="47"/>
      <c r="I213" s="48"/>
      <c r="J213" s="105"/>
      <c r="K213" s="47"/>
      <c r="L213" s="47"/>
      <c r="M213" s="47"/>
      <c r="N213" s="65"/>
      <c r="O213" s="43"/>
      <c r="Q213" s="76"/>
      <c r="R213" s="77"/>
      <c r="S213" s="107"/>
      <c r="T213" s="108"/>
      <c r="U213" s="108"/>
      <c r="V213" s="108"/>
      <c r="W213" s="108"/>
      <c r="X213" s="108"/>
      <c r="Y213" s="108"/>
      <c r="Z213" s="108"/>
      <c r="AA213" s="108"/>
      <c r="AB213" s="79"/>
      <c r="AC213" s="80"/>
      <c r="AD213" s="81"/>
      <c r="AE213" s="81"/>
      <c r="AF213" s="81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</row>
    <row r="214" spans="1:42" ht="15.75">
      <c r="A214" s="47"/>
      <c r="B214" s="47"/>
      <c r="C214" s="89"/>
      <c r="D214" s="89"/>
      <c r="E214" s="89"/>
      <c r="F214" s="89"/>
      <c r="G214" s="89"/>
      <c r="H214" s="89"/>
      <c r="I214" s="89"/>
      <c r="J214" s="89"/>
      <c r="K214" s="47"/>
      <c r="L214" s="47"/>
      <c r="M214" s="47"/>
      <c r="N214" s="65"/>
      <c r="O214" s="43"/>
      <c r="Q214" s="76"/>
      <c r="R214" s="77"/>
      <c r="S214" s="107"/>
      <c r="T214" s="108"/>
      <c r="U214" s="108"/>
      <c r="V214" s="108"/>
      <c r="W214" s="108"/>
      <c r="X214" s="108"/>
      <c r="Y214" s="108"/>
      <c r="Z214" s="108"/>
      <c r="AA214" s="108"/>
      <c r="AB214" s="79"/>
      <c r="AC214" s="80"/>
      <c r="AD214" s="81"/>
      <c r="AE214" s="81"/>
      <c r="AF214" s="81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</row>
    <row r="215" spans="1:42" ht="15.75">
      <c r="A215" s="47"/>
      <c r="B215" s="47"/>
      <c r="C215" s="89"/>
      <c r="D215" s="89"/>
      <c r="E215" s="89"/>
      <c r="F215" s="89"/>
      <c r="G215" s="89"/>
      <c r="H215" s="89"/>
      <c r="I215" s="89"/>
      <c r="J215" s="89"/>
      <c r="K215" s="47"/>
      <c r="L215" s="47"/>
      <c r="M215" s="47"/>
      <c r="N215" s="65"/>
      <c r="O215" s="43"/>
      <c r="Q215" s="76"/>
      <c r="R215" s="77"/>
      <c r="S215" s="107"/>
      <c r="T215" s="108"/>
      <c r="U215" s="108"/>
      <c r="V215" s="108"/>
      <c r="W215" s="108"/>
      <c r="X215" s="108"/>
      <c r="Y215" s="108"/>
      <c r="Z215" s="108"/>
      <c r="AA215" s="108"/>
      <c r="AB215" s="79"/>
      <c r="AC215" s="80"/>
      <c r="AD215" s="81"/>
      <c r="AE215" s="81"/>
      <c r="AF215" s="81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</row>
    <row r="216" spans="1:42" ht="15.75">
      <c r="A216" s="47"/>
      <c r="B216" s="47"/>
      <c r="C216" s="83"/>
      <c r="D216" s="47"/>
      <c r="E216" s="47"/>
      <c r="F216" s="47"/>
      <c r="G216" s="47"/>
      <c r="H216" s="47"/>
      <c r="I216" s="48"/>
      <c r="J216" s="47"/>
      <c r="K216" s="47"/>
      <c r="L216" s="47"/>
      <c r="M216" s="47"/>
      <c r="N216" s="65"/>
      <c r="O216" s="43"/>
      <c r="Q216" s="76"/>
      <c r="R216" s="77"/>
      <c r="S216" s="107"/>
      <c r="T216" s="108"/>
      <c r="U216" s="108"/>
      <c r="V216" s="108"/>
      <c r="W216" s="108"/>
      <c r="X216" s="108"/>
      <c r="Y216" s="108"/>
      <c r="Z216" s="108"/>
      <c r="AA216" s="108"/>
      <c r="AB216" s="79"/>
      <c r="AC216" s="80"/>
      <c r="AD216" s="81"/>
      <c r="AE216" s="81"/>
      <c r="AF216" s="81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</row>
    <row r="217" spans="1:42" ht="15.75">
      <c r="A217" s="44"/>
      <c r="B217" s="44"/>
      <c r="C217" s="45"/>
      <c r="D217" s="44"/>
      <c r="E217" s="44"/>
      <c r="F217" s="44"/>
      <c r="G217" s="44"/>
      <c r="H217" s="44"/>
      <c r="I217" s="46"/>
      <c r="J217" s="44"/>
      <c r="K217" s="44"/>
      <c r="L217" s="44"/>
      <c r="M217" s="98"/>
      <c r="N217" s="65"/>
      <c r="Q217" s="76"/>
      <c r="R217" s="77"/>
      <c r="S217" s="107"/>
      <c r="T217" s="108"/>
      <c r="U217" s="108"/>
      <c r="V217" s="108"/>
      <c r="W217" s="108"/>
      <c r="X217" s="108"/>
      <c r="Y217" s="108"/>
      <c r="Z217" s="108"/>
      <c r="AA217" s="108"/>
      <c r="AB217" s="79"/>
      <c r="AC217" s="80"/>
      <c r="AD217" s="81"/>
      <c r="AE217" s="81"/>
      <c r="AF217" s="81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</row>
    <row r="218" spans="1:42" ht="15.75">
      <c r="A218" s="44"/>
      <c r="B218" s="44"/>
      <c r="C218" s="45"/>
      <c r="D218" s="44"/>
      <c r="E218" s="44"/>
      <c r="F218" s="44"/>
      <c r="G218" s="44"/>
      <c r="H218" s="44"/>
      <c r="I218" s="46"/>
      <c r="J218" s="44"/>
      <c r="K218" s="44"/>
      <c r="L218" s="44"/>
      <c r="M218" s="98"/>
      <c r="N218" s="65"/>
      <c r="Q218" s="76"/>
      <c r="R218" s="77"/>
      <c r="S218" s="107"/>
      <c r="T218" s="108"/>
      <c r="U218" s="108"/>
      <c r="V218" s="108"/>
      <c r="W218" s="108"/>
      <c r="X218" s="108"/>
      <c r="Y218" s="108"/>
      <c r="Z218" s="108"/>
      <c r="AA218" s="108"/>
      <c r="AB218" s="79"/>
      <c r="AC218" s="80"/>
      <c r="AD218" s="81"/>
      <c r="AE218" s="81"/>
      <c r="AF218" s="81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</row>
    <row r="219" spans="1:42" ht="15.75">
      <c r="A219" s="44"/>
      <c r="B219" s="44"/>
      <c r="C219" s="45"/>
      <c r="D219" s="44"/>
      <c r="E219" s="44"/>
      <c r="F219" s="44"/>
      <c r="G219" s="44"/>
      <c r="H219" s="44"/>
      <c r="I219" s="46"/>
      <c r="J219" s="44"/>
      <c r="K219" s="44"/>
      <c r="L219" s="44"/>
      <c r="M219" s="98"/>
      <c r="N219" s="65"/>
      <c r="Q219" s="76"/>
      <c r="R219" s="77"/>
      <c r="S219" s="107"/>
      <c r="T219" s="108"/>
      <c r="U219" s="108"/>
      <c r="V219" s="108"/>
      <c r="W219" s="108"/>
      <c r="X219" s="108"/>
      <c r="Y219" s="108"/>
      <c r="Z219" s="108"/>
      <c r="AA219" s="108"/>
      <c r="AB219" s="79"/>
      <c r="AC219" s="80"/>
      <c r="AD219" s="81"/>
      <c r="AE219" s="81"/>
      <c r="AF219" s="81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</row>
    <row r="220" spans="1:42" ht="15.75">
      <c r="A220" s="44"/>
      <c r="B220" s="44"/>
      <c r="C220" s="45"/>
      <c r="D220" s="44"/>
      <c r="E220" s="44"/>
      <c r="F220" s="44"/>
      <c r="G220" s="44"/>
      <c r="H220" s="44"/>
      <c r="I220" s="46"/>
      <c r="J220" s="44"/>
      <c r="K220" s="44"/>
      <c r="L220" s="44"/>
      <c r="M220" s="98"/>
      <c r="N220" s="65"/>
      <c r="Q220" s="76"/>
      <c r="R220" s="77"/>
      <c r="S220" s="78"/>
      <c r="T220" s="79"/>
      <c r="U220" s="79"/>
      <c r="V220" s="79"/>
      <c r="W220" s="79"/>
      <c r="X220" s="79"/>
      <c r="Y220" s="79"/>
      <c r="Z220" s="79"/>
      <c r="AA220" s="79"/>
      <c r="AB220" s="79"/>
      <c r="AC220" s="80"/>
      <c r="AD220" s="81"/>
      <c r="AE220" s="81"/>
      <c r="AF220" s="81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</row>
    <row r="221" spans="1:42" ht="15.75">
      <c r="A221" s="44"/>
      <c r="B221" s="44"/>
      <c r="C221" s="45"/>
      <c r="D221" s="44"/>
      <c r="E221" s="44"/>
      <c r="F221" s="44"/>
      <c r="G221" s="44"/>
      <c r="H221" s="44"/>
      <c r="I221" s="46"/>
      <c r="J221" s="44"/>
      <c r="K221" s="44"/>
      <c r="L221" s="44"/>
      <c r="M221" s="98"/>
      <c r="N221" s="65"/>
      <c r="Q221" s="76"/>
      <c r="R221" s="77"/>
      <c r="S221" s="78"/>
      <c r="T221" s="79"/>
      <c r="U221" s="79"/>
      <c r="V221" s="79"/>
      <c r="W221" s="79"/>
      <c r="X221" s="79"/>
      <c r="Y221" s="79"/>
      <c r="Z221" s="79"/>
      <c r="AA221" s="79"/>
      <c r="AB221" s="79"/>
      <c r="AC221" s="80"/>
      <c r="AD221" s="81"/>
      <c r="AE221" s="81"/>
      <c r="AF221" s="81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</row>
    <row r="222" spans="1:42" ht="15.75">
      <c r="A222" s="44"/>
      <c r="B222" s="44"/>
      <c r="C222" s="45"/>
      <c r="D222" s="44"/>
      <c r="E222" s="44"/>
      <c r="F222" s="44"/>
      <c r="G222" s="44"/>
      <c r="H222" s="44"/>
      <c r="I222" s="46"/>
      <c r="J222" s="44"/>
      <c r="K222" s="44"/>
      <c r="L222" s="44"/>
      <c r="M222" s="98"/>
      <c r="N222" s="65"/>
      <c r="Q222" s="76"/>
      <c r="R222" s="77"/>
      <c r="S222" s="78"/>
      <c r="T222" s="79"/>
      <c r="U222" s="79"/>
      <c r="V222" s="79"/>
      <c r="W222" s="79"/>
      <c r="X222" s="79"/>
      <c r="Y222" s="79"/>
      <c r="Z222" s="79"/>
      <c r="AA222" s="79"/>
      <c r="AB222" s="79"/>
      <c r="AC222" s="80"/>
      <c r="AD222" s="81"/>
      <c r="AE222" s="81"/>
      <c r="AF222" s="81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</row>
    <row r="223" spans="1:42" ht="15.75">
      <c r="A223" s="44"/>
      <c r="B223" s="44"/>
      <c r="C223" s="45"/>
      <c r="D223" s="44"/>
      <c r="E223" s="44"/>
      <c r="F223" s="44"/>
      <c r="G223" s="44"/>
      <c r="H223" s="44"/>
      <c r="I223" s="46"/>
      <c r="J223" s="44"/>
      <c r="K223" s="44"/>
      <c r="L223" s="44"/>
      <c r="M223" s="98"/>
      <c r="N223" s="65"/>
      <c r="Q223" s="76"/>
      <c r="R223" s="77"/>
      <c r="S223" s="78"/>
      <c r="T223" s="79"/>
      <c r="U223" s="79"/>
      <c r="V223" s="79"/>
      <c r="W223" s="79"/>
      <c r="X223" s="79"/>
      <c r="Y223" s="79"/>
      <c r="Z223" s="79"/>
      <c r="AA223" s="79"/>
      <c r="AB223" s="79"/>
      <c r="AC223" s="80"/>
      <c r="AD223" s="81"/>
      <c r="AE223" s="81"/>
      <c r="AF223" s="81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</row>
  </sheetData>
  <sheetProtection/>
  <mergeCells count="1">
    <mergeCell ref="B2:L2"/>
  </mergeCells>
  <printOptions/>
  <pageMargins left="1.1811023622047245" right="0.3937007874015748" top="1.5748031496062993" bottom="0.1968503937007874" header="0.11811023622047245" footer="0.11811023622047245"/>
  <pageSetup horizontalDpi="1200" verticalDpi="1200" orientation="landscape" paperSize="9" r:id="rId8"/>
  <headerFooter alignWithMargins="0">
    <oddHeader>&amp;L&amp;6Dr.-Ing. habil. Hermann Gärlich
      Beratender Ingenieur&amp;R&amp;6&amp;D    &amp;T</oddHeader>
    <oddFooter>&amp;L&amp;6&amp;F     &amp;A</oddFooter>
  </headerFooter>
  <rowBreaks count="3" manualBreakCount="3">
    <brk id="23" max="65535" man="1"/>
    <brk id="45" max="65535" man="1"/>
    <brk id="70" max="65535" man="1"/>
  </rowBreaks>
  <drawing r:id="rId7"/>
  <legacyDrawing r:id="rId6"/>
  <oleObjects>
    <oleObject progId="Word.Document.8" shapeId="234166" r:id="rId1"/>
    <oleObject progId="Word.Document.8" shapeId="236043" r:id="rId2"/>
    <oleObject progId="Word.Document.8" shapeId="300853" r:id="rId3"/>
    <oleObject progId="Word.Document.8" shapeId="657589" r:id="rId4"/>
    <oleObject progId="Word.Document.8" shapeId="66279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K104"/>
  <sheetViews>
    <sheetView showGridLines="0" zoomScale="90" zoomScaleNormal="90" zoomScalePageLayoutView="0" workbookViewId="0" topLeftCell="H1">
      <selection activeCell="K4" sqref="K4"/>
    </sheetView>
  </sheetViews>
  <sheetFormatPr defaultColWidth="11.421875" defaultRowHeight="12.75"/>
  <cols>
    <col min="1" max="1" width="3.28125" style="15" customWidth="1"/>
    <col min="2" max="2" width="60.421875" style="16" customWidth="1"/>
    <col min="3" max="3" width="51.28125" style="17" customWidth="1"/>
    <col min="4" max="11" width="47.7109375" style="16" customWidth="1"/>
    <col min="12" max="16384" width="11.421875" style="16" customWidth="1"/>
  </cols>
  <sheetData>
    <row r="2" spans="2:11" s="20" customFormat="1" ht="15.75">
      <c r="B2" s="20">
        <f>'W Vergleich Sohlen'!O10</f>
        <v>5</v>
      </c>
      <c r="C2" s="21">
        <v>5</v>
      </c>
      <c r="D2" s="20">
        <v>1</v>
      </c>
      <c r="E2" s="20">
        <v>2</v>
      </c>
      <c r="F2" s="20">
        <v>3</v>
      </c>
      <c r="G2" s="20">
        <v>4</v>
      </c>
      <c r="H2" s="20">
        <v>6</v>
      </c>
      <c r="I2" s="20">
        <v>7</v>
      </c>
      <c r="J2" s="20">
        <v>7</v>
      </c>
      <c r="K2" s="20">
        <v>8</v>
      </c>
    </row>
    <row r="3" spans="1:11" s="11" customFormat="1" ht="14.25">
      <c r="A3" s="8"/>
      <c r="B3" s="10" t="s">
        <v>47</v>
      </c>
      <c r="C3" s="9" t="s">
        <v>48</v>
      </c>
      <c r="D3" s="10" t="s">
        <v>3</v>
      </c>
      <c r="E3" s="10" t="s">
        <v>34</v>
      </c>
      <c r="F3" s="10" t="s">
        <v>49</v>
      </c>
      <c r="G3" s="10" t="s">
        <v>37</v>
      </c>
      <c r="H3" s="10" t="s">
        <v>2</v>
      </c>
      <c r="I3" s="10" t="s">
        <v>39</v>
      </c>
      <c r="J3" s="10" t="s">
        <v>40</v>
      </c>
      <c r="K3" s="10" t="s">
        <v>333</v>
      </c>
    </row>
    <row r="4" spans="1:11" s="14" customFormat="1" ht="67.5" customHeight="1">
      <c r="A4" s="12">
        <v>1</v>
      </c>
      <c r="B4" s="38" t="str">
        <f>IF(B$2=1,D4,IF(B$2=2,E4,IF(B$2=3,F4,IF(B$2=4,G4,IF(B$2=5,H4,IF(B$2=6,I4,IF(B$2=7,J4,K4)))))))</f>
        <v>       Wirtschaftlichkeitsvergleich zwischen unbesohlten Schwellen und Schwellen mit elastischer Besohlung</v>
      </c>
      <c r="C4" s="13" t="s">
        <v>50</v>
      </c>
      <c r="D4" s="42" t="s">
        <v>397</v>
      </c>
      <c r="E4" s="23" t="s">
        <v>398</v>
      </c>
      <c r="F4" s="14" t="s">
        <v>51</v>
      </c>
      <c r="G4" s="14" t="s">
        <v>52</v>
      </c>
      <c r="H4" s="37" t="s">
        <v>396</v>
      </c>
      <c r="I4" s="13" t="s">
        <v>53</v>
      </c>
      <c r="J4" s="13" t="s">
        <v>399</v>
      </c>
      <c r="K4" s="37" t="s">
        <v>400</v>
      </c>
    </row>
    <row r="5" spans="1:11" s="14" customFormat="1" ht="58.5">
      <c r="A5" s="12">
        <v>2</v>
      </c>
      <c r="B5" s="38" t="str">
        <f>IF(B$2=1,D5,IF(B$2=2,E5,IF(B$2=3,F5,IF(B$2=4,G5,IF(B$2=5,H5,IF(B$2=6,I5,IF(B$2=7,J5,K5)))))))</f>
        <v>Die Eingaben betreffen Datenvorgaben für unbesohlte Schwellen (Daten für besohlte Schwellen sind Fixdaten)</v>
      </c>
      <c r="C5" s="13" t="s">
        <v>5</v>
      </c>
      <c r="D5" s="13" t="s">
        <v>54</v>
      </c>
      <c r="E5" s="23" t="s">
        <v>55</v>
      </c>
      <c r="F5" s="22" t="s">
        <v>56</v>
      </c>
      <c r="G5" s="22" t="s">
        <v>56</v>
      </c>
      <c r="H5" s="13" t="s">
        <v>5</v>
      </c>
      <c r="I5" s="13" t="s">
        <v>57</v>
      </c>
      <c r="J5" s="13" t="s">
        <v>57</v>
      </c>
      <c r="K5" s="13" t="s">
        <v>334</v>
      </c>
    </row>
    <row r="6" spans="1:11" s="14" customFormat="1" ht="20.25">
      <c r="A6" s="12">
        <v>3</v>
      </c>
      <c r="B6" s="38" t="str">
        <f aca="true" t="shared" si="0" ref="B6:B69">IF(B$2=1,D6,IF(B$2=2,E6,IF(B$2=3,F6,IF(B$2=4,G6,IF(B$2=5,H6,IF(B$2=6,I6,IF(B$2=7,J6,K6)))))))</f>
        <v>Schotterqualität</v>
      </c>
      <c r="C6" s="13" t="s">
        <v>58</v>
      </c>
      <c r="D6" s="13" t="s">
        <v>59</v>
      </c>
      <c r="E6" s="24" t="s">
        <v>60</v>
      </c>
      <c r="F6" s="22" t="s">
        <v>59</v>
      </c>
      <c r="G6" s="22" t="s">
        <v>59</v>
      </c>
      <c r="H6" s="13" t="s">
        <v>58</v>
      </c>
      <c r="I6" s="13" t="s">
        <v>61</v>
      </c>
      <c r="J6" s="13" t="s">
        <v>61</v>
      </c>
      <c r="K6" s="13" t="s">
        <v>335</v>
      </c>
    </row>
    <row r="7" spans="1:11" s="14" customFormat="1" ht="20.25">
      <c r="A7" s="12">
        <v>4</v>
      </c>
      <c r="B7" s="38" t="str">
        <f t="shared" si="0"/>
        <v>Kalksteinschotter</v>
      </c>
      <c r="C7" s="13" t="s">
        <v>62</v>
      </c>
      <c r="D7" s="13" t="s">
        <v>63</v>
      </c>
      <c r="E7" s="24" t="s">
        <v>64</v>
      </c>
      <c r="F7" s="22" t="s">
        <v>63</v>
      </c>
      <c r="G7" s="22" t="s">
        <v>63</v>
      </c>
      <c r="H7" s="13" t="s">
        <v>62</v>
      </c>
      <c r="I7" s="13" t="s">
        <v>65</v>
      </c>
      <c r="J7" s="13" t="s">
        <v>65</v>
      </c>
      <c r="K7" t="s">
        <v>336</v>
      </c>
    </row>
    <row r="8" spans="1:11" s="14" customFormat="1" ht="20.25">
      <c r="A8" s="12">
        <v>5</v>
      </c>
      <c r="B8" s="38" t="str">
        <f t="shared" si="0"/>
        <v>Hartsteinschotter</v>
      </c>
      <c r="C8" s="13" t="s">
        <v>66</v>
      </c>
      <c r="D8" s="13" t="s">
        <v>67</v>
      </c>
      <c r="E8" s="24" t="s">
        <v>68</v>
      </c>
      <c r="F8" s="22" t="s">
        <v>67</v>
      </c>
      <c r="G8" s="22" t="s">
        <v>67</v>
      </c>
      <c r="H8" s="13" t="s">
        <v>66</v>
      </c>
      <c r="I8" s="13" t="s">
        <v>69</v>
      </c>
      <c r="J8" s="13" t="s">
        <v>69</v>
      </c>
      <c r="K8" s="13" t="s">
        <v>337</v>
      </c>
    </row>
    <row r="9" spans="1:11" s="14" customFormat="1" ht="20.25">
      <c r="A9" s="12">
        <v>6</v>
      </c>
      <c r="B9" s="38" t="str">
        <f t="shared" si="0"/>
        <v>Geschwindigkeit </v>
      </c>
      <c r="C9" s="13" t="s">
        <v>70</v>
      </c>
      <c r="D9" s="13" t="s">
        <v>71</v>
      </c>
      <c r="E9" s="24" t="s">
        <v>72</v>
      </c>
      <c r="F9" s="22" t="s">
        <v>71</v>
      </c>
      <c r="G9" s="22" t="s">
        <v>71</v>
      </c>
      <c r="H9" s="13" t="s">
        <v>70</v>
      </c>
      <c r="I9" s="13" t="s">
        <v>73</v>
      </c>
      <c r="J9" s="13" t="s">
        <v>73</v>
      </c>
      <c r="K9" s="13" t="s">
        <v>338</v>
      </c>
    </row>
    <row r="10" spans="1:11" s="14" customFormat="1" ht="20.25">
      <c r="A10" s="12">
        <v>7</v>
      </c>
      <c r="B10" s="38" t="str">
        <f t="shared" si="0"/>
        <v>Personenverkehr</v>
      </c>
      <c r="C10" s="13" t="s">
        <v>74</v>
      </c>
      <c r="D10" s="13" t="s">
        <v>75</v>
      </c>
      <c r="E10" s="24" t="s">
        <v>76</v>
      </c>
      <c r="F10" s="22" t="s">
        <v>75</v>
      </c>
      <c r="G10" s="22" t="s">
        <v>75</v>
      </c>
      <c r="H10" s="13" t="s">
        <v>74</v>
      </c>
      <c r="I10" s="13" t="s">
        <v>77</v>
      </c>
      <c r="J10" s="13" t="s">
        <v>77</v>
      </c>
      <c r="K10" s="13" t="s">
        <v>339</v>
      </c>
    </row>
    <row r="11" spans="1:11" s="14" customFormat="1" ht="20.25">
      <c r="A11" s="12">
        <v>8</v>
      </c>
      <c r="B11" s="38" t="str">
        <f t="shared" si="0"/>
        <v>Verkehrsart </v>
      </c>
      <c r="C11" s="13" t="s">
        <v>78</v>
      </c>
      <c r="D11" s="13" t="s">
        <v>79</v>
      </c>
      <c r="E11" s="24" t="s">
        <v>80</v>
      </c>
      <c r="F11" s="22" t="s">
        <v>79</v>
      </c>
      <c r="G11" s="22" t="s">
        <v>79</v>
      </c>
      <c r="H11" s="13" t="s">
        <v>78</v>
      </c>
      <c r="I11" s="13" t="s">
        <v>81</v>
      </c>
      <c r="J11" s="13" t="s">
        <v>81</v>
      </c>
      <c r="K11" s="13" t="s">
        <v>340</v>
      </c>
    </row>
    <row r="12" spans="1:11" s="14" customFormat="1" ht="20.25">
      <c r="A12" s="12">
        <v>9</v>
      </c>
      <c r="B12" s="38" t="str">
        <f t="shared" si="0"/>
        <v>Güterverkehr</v>
      </c>
      <c r="C12" s="13" t="s">
        <v>82</v>
      </c>
      <c r="D12" s="13" t="s">
        <v>83</v>
      </c>
      <c r="E12" s="24" t="s">
        <v>84</v>
      </c>
      <c r="F12" s="22" t="s">
        <v>83</v>
      </c>
      <c r="G12" s="22" t="s">
        <v>83</v>
      </c>
      <c r="H12" s="13" t="s">
        <v>82</v>
      </c>
      <c r="I12" s="13" t="s">
        <v>85</v>
      </c>
      <c r="J12" s="13" t="s">
        <v>85</v>
      </c>
      <c r="K12" s="13" t="s">
        <v>341</v>
      </c>
    </row>
    <row r="13" spans="1:11" s="14" customFormat="1" ht="20.25">
      <c r="A13" s="12">
        <v>10</v>
      </c>
      <c r="B13" s="38" t="str">
        <f t="shared" si="0"/>
        <v>Lasttonnen im Jahr </v>
      </c>
      <c r="C13" s="13" t="s">
        <v>86</v>
      </c>
      <c r="D13" s="13" t="s">
        <v>87</v>
      </c>
      <c r="E13" s="24" t="s">
        <v>88</v>
      </c>
      <c r="F13" s="22" t="s">
        <v>87</v>
      </c>
      <c r="G13" s="22" t="s">
        <v>87</v>
      </c>
      <c r="H13" s="13" t="s">
        <v>86</v>
      </c>
      <c r="I13" s="13" t="s">
        <v>89</v>
      </c>
      <c r="J13" s="13" t="s">
        <v>89</v>
      </c>
      <c r="K13" s="13" t="s">
        <v>342</v>
      </c>
    </row>
    <row r="14" spans="1:11" s="14" customFormat="1" ht="20.25">
      <c r="A14" s="12">
        <v>11</v>
      </c>
      <c r="B14" s="38" t="str">
        <f t="shared" si="0"/>
        <v>Mischverkehr</v>
      </c>
      <c r="C14" s="13" t="s">
        <v>90</v>
      </c>
      <c r="D14" s="13" t="s">
        <v>91</v>
      </c>
      <c r="E14" s="24" t="s">
        <v>92</v>
      </c>
      <c r="F14" s="22" t="s">
        <v>91</v>
      </c>
      <c r="G14" s="22" t="s">
        <v>91</v>
      </c>
      <c r="H14" s="13" t="s">
        <v>90</v>
      </c>
      <c r="I14" s="13" t="s">
        <v>93</v>
      </c>
      <c r="J14" s="13" t="s">
        <v>93</v>
      </c>
      <c r="K14" s="13" t="s">
        <v>343</v>
      </c>
    </row>
    <row r="15" spans="1:11" s="14" customFormat="1" ht="30.75">
      <c r="A15" s="12">
        <v>12</v>
      </c>
      <c r="B15" s="38" t="str">
        <f t="shared" si="0"/>
        <v>Richt- und Stopfintervalle</v>
      </c>
      <c r="C15" s="13" t="s">
        <v>94</v>
      </c>
      <c r="D15" s="13" t="s">
        <v>95</v>
      </c>
      <c r="E15" s="24" t="s">
        <v>96</v>
      </c>
      <c r="F15" s="22" t="s">
        <v>95</v>
      </c>
      <c r="G15" s="22" t="s">
        <v>95</v>
      </c>
      <c r="H15" s="13" t="s">
        <v>94</v>
      </c>
      <c r="I15" s="13" t="s">
        <v>97</v>
      </c>
      <c r="J15" s="13" t="s">
        <v>98</v>
      </c>
      <c r="K15" s="13" t="s">
        <v>344</v>
      </c>
    </row>
    <row r="16" spans="1:11" s="14" customFormat="1" ht="20.25">
      <c r="A16" s="12">
        <v>13</v>
      </c>
      <c r="B16" s="38" t="str">
        <f t="shared" si="0"/>
        <v>Mio. Lasttonnen / Jahr</v>
      </c>
      <c r="C16" s="13" t="s">
        <v>99</v>
      </c>
      <c r="D16" s="13" t="s">
        <v>100</v>
      </c>
      <c r="E16" s="24" t="s">
        <v>101</v>
      </c>
      <c r="F16" s="22" t="s">
        <v>100</v>
      </c>
      <c r="G16" s="22" t="s">
        <v>100</v>
      </c>
      <c r="H16" s="13" t="s">
        <v>99</v>
      </c>
      <c r="I16" s="13" t="s">
        <v>102</v>
      </c>
      <c r="J16" s="13" t="s">
        <v>102</v>
      </c>
      <c r="K16" s="13" t="s">
        <v>345</v>
      </c>
    </row>
    <row r="17" spans="1:11" s="14" customFormat="1" ht="20.25">
      <c r="A17" s="12">
        <v>14</v>
      </c>
      <c r="B17" s="38" t="str">
        <f t="shared" si="0"/>
        <v>Schienenschleifen (Intervall)</v>
      </c>
      <c r="C17" s="13" t="s">
        <v>103</v>
      </c>
      <c r="D17" s="13" t="s">
        <v>104</v>
      </c>
      <c r="E17" s="24" t="s">
        <v>105</v>
      </c>
      <c r="F17" s="22" t="s">
        <v>104</v>
      </c>
      <c r="G17" s="22" t="s">
        <v>104</v>
      </c>
      <c r="H17" s="13" t="s">
        <v>103</v>
      </c>
      <c r="I17" s="13" t="s">
        <v>106</v>
      </c>
      <c r="J17" s="13" t="s">
        <v>106</v>
      </c>
      <c r="K17" s="13" t="s">
        <v>346</v>
      </c>
    </row>
    <row r="18" spans="1:11" s="14" customFormat="1" ht="20.25">
      <c r="A18" s="12">
        <v>15</v>
      </c>
      <c r="B18" s="38" t="str">
        <f t="shared" si="0"/>
        <v>Jahre</v>
      </c>
      <c r="C18" s="13" t="s">
        <v>12</v>
      </c>
      <c r="D18" s="13" t="s">
        <v>107</v>
      </c>
      <c r="E18" s="24" t="s">
        <v>108</v>
      </c>
      <c r="F18" s="22" t="s">
        <v>107</v>
      </c>
      <c r="G18" s="22" t="s">
        <v>107</v>
      </c>
      <c r="H18" s="13" t="s">
        <v>12</v>
      </c>
      <c r="I18" s="13" t="s">
        <v>109</v>
      </c>
      <c r="J18" s="13" t="s">
        <v>109</v>
      </c>
      <c r="K18" s="13" t="s">
        <v>347</v>
      </c>
    </row>
    <row r="19" spans="1:11" s="14" customFormat="1" ht="20.25">
      <c r="A19" s="12">
        <v>16</v>
      </c>
      <c r="B19" s="38" t="str">
        <f t="shared" si="0"/>
        <v>Schotterreinigung </v>
      </c>
      <c r="C19" s="13" t="s">
        <v>110</v>
      </c>
      <c r="D19" s="13" t="s">
        <v>111</v>
      </c>
      <c r="E19" s="24" t="s">
        <v>112</v>
      </c>
      <c r="F19" s="22" t="s">
        <v>111</v>
      </c>
      <c r="G19" s="22" t="s">
        <v>111</v>
      </c>
      <c r="H19" s="13" t="s">
        <v>110</v>
      </c>
      <c r="I19" s="13" t="s">
        <v>113</v>
      </c>
      <c r="J19" s="13" t="s">
        <v>113</v>
      </c>
      <c r="K19" s="13" t="s">
        <v>384</v>
      </c>
    </row>
    <row r="20" spans="1:11" s="14" customFormat="1" ht="30.75">
      <c r="A20" s="12">
        <v>17</v>
      </c>
      <c r="B20" s="38" t="str">
        <f t="shared" si="0"/>
        <v>Material- und Leistungspreise (Deutschland)</v>
      </c>
      <c r="C20" s="13" t="s">
        <v>114</v>
      </c>
      <c r="D20" s="13" t="s">
        <v>115</v>
      </c>
      <c r="E20" s="24" t="s">
        <v>116</v>
      </c>
      <c r="F20" s="22" t="s">
        <v>117</v>
      </c>
      <c r="G20" s="22" t="s">
        <v>117</v>
      </c>
      <c r="H20" s="13" t="s">
        <v>114</v>
      </c>
      <c r="I20" s="13" t="s">
        <v>118</v>
      </c>
      <c r="J20" s="13" t="s">
        <v>119</v>
      </c>
      <c r="K20" s="13" t="s">
        <v>386</v>
      </c>
    </row>
    <row r="21" spans="1:11" s="14" customFormat="1" ht="20.25">
      <c r="A21" s="12">
        <v>18</v>
      </c>
      <c r="B21" s="38" t="str">
        <f t="shared" si="0"/>
        <v>Schotteraustausch </v>
      </c>
      <c r="C21" s="13" t="s">
        <v>120</v>
      </c>
      <c r="D21" s="13" t="s">
        <v>121</v>
      </c>
      <c r="E21" s="24" t="s">
        <v>122</v>
      </c>
      <c r="F21" s="22" t="s">
        <v>121</v>
      </c>
      <c r="G21" s="22" t="s">
        <v>121</v>
      </c>
      <c r="H21" s="13" t="s">
        <v>120</v>
      </c>
      <c r="I21" s="13" t="s">
        <v>123</v>
      </c>
      <c r="J21" s="13" t="s">
        <v>123</v>
      </c>
      <c r="K21" s="13" t="s">
        <v>385</v>
      </c>
    </row>
    <row r="22" spans="1:11" s="14" customFormat="1" ht="20.25">
      <c r="A22" s="12">
        <v>19</v>
      </c>
      <c r="B22" s="38" t="str">
        <f t="shared" si="0"/>
        <v>(Schottererneuerung)</v>
      </c>
      <c r="C22" s="13" t="s">
        <v>124</v>
      </c>
      <c r="D22" s="13" t="s">
        <v>125</v>
      </c>
      <c r="E22" s="24" t="s">
        <v>126</v>
      </c>
      <c r="F22" s="22" t="s">
        <v>127</v>
      </c>
      <c r="G22" s="22" t="s">
        <v>127</v>
      </c>
      <c r="H22" s="13" t="s">
        <v>124</v>
      </c>
      <c r="I22" s="13" t="s">
        <v>128</v>
      </c>
      <c r="J22" s="13" t="s">
        <v>128</v>
      </c>
      <c r="K22" s="13" t="s">
        <v>348</v>
      </c>
    </row>
    <row r="23" spans="1:11" s="14" customFormat="1" ht="20.25">
      <c r="A23" s="12">
        <v>20</v>
      </c>
      <c r="B23" s="38" t="str">
        <f t="shared" si="0"/>
        <v>Schwellenaustausch</v>
      </c>
      <c r="C23" s="13" t="s">
        <v>129</v>
      </c>
      <c r="D23" s="13" t="s">
        <v>130</v>
      </c>
      <c r="E23" s="24" t="s">
        <v>131</v>
      </c>
      <c r="F23" s="22" t="s">
        <v>130</v>
      </c>
      <c r="G23" s="22" t="s">
        <v>130</v>
      </c>
      <c r="H23" s="13" t="s">
        <v>129</v>
      </c>
      <c r="I23" s="13" t="s">
        <v>132</v>
      </c>
      <c r="J23" s="13" t="s">
        <v>132</v>
      </c>
      <c r="K23" s="13" t="s">
        <v>349</v>
      </c>
    </row>
    <row r="24" spans="1:11" s="14" customFormat="1" ht="20.25">
      <c r="A24" s="12">
        <v>21</v>
      </c>
      <c r="B24" s="38" t="str">
        <f t="shared" si="0"/>
        <v>Eingabe für besohlte Schwellen</v>
      </c>
      <c r="C24" s="13" t="s">
        <v>133</v>
      </c>
      <c r="D24" s="13" t="s">
        <v>134</v>
      </c>
      <c r="E24" s="24" t="s">
        <v>135</v>
      </c>
      <c r="F24" s="22" t="s">
        <v>134</v>
      </c>
      <c r="G24" s="22" t="s">
        <v>134</v>
      </c>
      <c r="H24" s="13" t="s">
        <v>133</v>
      </c>
      <c r="I24" s="13" t="s">
        <v>136</v>
      </c>
      <c r="J24" s="13" t="s">
        <v>136</v>
      </c>
      <c r="K24" s="13" t="s">
        <v>350</v>
      </c>
    </row>
    <row r="25" spans="1:11" s="14" customFormat="1" ht="20.25">
      <c r="A25" s="12">
        <v>22</v>
      </c>
      <c r="B25" s="38" t="str">
        <f t="shared" si="0"/>
        <v>Eingabe für Material- und Leistungspreise</v>
      </c>
      <c r="C25" s="13" t="s">
        <v>137</v>
      </c>
      <c r="D25" s="13" t="s">
        <v>138</v>
      </c>
      <c r="E25" s="24" t="s">
        <v>139</v>
      </c>
      <c r="F25" s="22" t="s">
        <v>138</v>
      </c>
      <c r="G25" s="22" t="s">
        <v>138</v>
      </c>
      <c r="H25" s="13" t="s">
        <v>137</v>
      </c>
      <c r="I25" s="35" t="s">
        <v>140</v>
      </c>
      <c r="J25" s="35" t="s">
        <v>140</v>
      </c>
      <c r="K25" s="13" t="s">
        <v>351</v>
      </c>
    </row>
    <row r="26" spans="1:11" s="14" customFormat="1" ht="20.25">
      <c r="A26" s="12">
        <v>23</v>
      </c>
      <c r="B26" s="38" t="str">
        <f t="shared" si="0"/>
        <v>LCC - Grafik</v>
      </c>
      <c r="C26" s="13" t="s">
        <v>141</v>
      </c>
      <c r="D26" s="13" t="s">
        <v>142</v>
      </c>
      <c r="E26" s="24" t="s">
        <v>143</v>
      </c>
      <c r="F26" s="22" t="s">
        <v>142</v>
      </c>
      <c r="G26" s="22" t="s">
        <v>142</v>
      </c>
      <c r="H26" s="13" t="s">
        <v>141</v>
      </c>
      <c r="I26" s="36" t="s">
        <v>144</v>
      </c>
      <c r="J26" s="36" t="s">
        <v>144</v>
      </c>
      <c r="K26" s="13" t="s">
        <v>352</v>
      </c>
    </row>
    <row r="27" spans="1:11" s="14" customFormat="1" ht="20.25">
      <c r="A27" s="12">
        <v>24</v>
      </c>
      <c r="B27" s="38" t="str">
        <f t="shared" si="0"/>
        <v>Inlandpreise 1)</v>
      </c>
      <c r="C27" s="13" t="s">
        <v>145</v>
      </c>
      <c r="D27" s="13" t="s">
        <v>146</v>
      </c>
      <c r="E27" s="24" t="s">
        <v>147</v>
      </c>
      <c r="F27" s="22" t="s">
        <v>146</v>
      </c>
      <c r="G27" s="22" t="s">
        <v>146</v>
      </c>
      <c r="H27" s="13" t="s">
        <v>145</v>
      </c>
      <c r="I27" s="13" t="s">
        <v>148</v>
      </c>
      <c r="J27" s="13" t="s">
        <v>148</v>
      </c>
      <c r="K27" s="13" t="s">
        <v>353</v>
      </c>
    </row>
    <row r="28" spans="1:11" s="14" customFormat="1" ht="45">
      <c r="A28" s="12"/>
      <c r="B28" s="38" t="str">
        <f t="shared" si="0"/>
        <v>(Preise als Komplettleistung </v>
      </c>
      <c r="C28" s="13" t="s">
        <v>149</v>
      </c>
      <c r="D28" s="22" t="s">
        <v>150</v>
      </c>
      <c r="E28" s="24" t="s">
        <v>151</v>
      </c>
      <c r="F28" s="22" t="s">
        <v>152</v>
      </c>
      <c r="G28" s="22" t="s">
        <v>152</v>
      </c>
      <c r="H28" s="13" t="s">
        <v>149</v>
      </c>
      <c r="I28" s="22" t="s">
        <v>153</v>
      </c>
      <c r="J28" s="22" t="s">
        <v>153</v>
      </c>
      <c r="K28" s="13" t="s">
        <v>354</v>
      </c>
    </row>
    <row r="29" spans="1:11" s="14" customFormat="1" ht="20.25">
      <c r="A29" s="12"/>
      <c r="B29" s="38" t="str">
        <f t="shared" si="0"/>
        <v>einschl. aller Zuschläge etc.</v>
      </c>
      <c r="C29" s="13" t="s">
        <v>154</v>
      </c>
      <c r="D29" s="22" t="s">
        <v>155</v>
      </c>
      <c r="E29" s="24" t="s">
        <v>156</v>
      </c>
      <c r="F29" s="22" t="s">
        <v>157</v>
      </c>
      <c r="G29" s="22" t="s">
        <v>157</v>
      </c>
      <c r="H29" s="13" t="s">
        <v>154</v>
      </c>
      <c r="I29" s="22" t="s">
        <v>158</v>
      </c>
      <c r="J29" s="22" t="s">
        <v>158</v>
      </c>
      <c r="K29" s="13" t="s">
        <v>355</v>
      </c>
    </row>
    <row r="30" spans="1:11" s="14" customFormat="1" ht="20.25">
      <c r="A30" s="12"/>
      <c r="B30" s="38" t="str">
        <f t="shared" si="0"/>
        <v>als Mittel dreier deutscher </v>
      </c>
      <c r="C30" s="13" t="s">
        <v>159</v>
      </c>
      <c r="D30" s="22" t="s">
        <v>160</v>
      </c>
      <c r="E30" s="25" t="s">
        <v>161</v>
      </c>
      <c r="F30" s="22" t="s">
        <v>162</v>
      </c>
      <c r="G30" s="22" t="s">
        <v>162</v>
      </c>
      <c r="H30" s="13" t="s">
        <v>159</v>
      </c>
      <c r="I30" s="22" t="s">
        <v>163</v>
      </c>
      <c r="J30" s="22" t="s">
        <v>164</v>
      </c>
      <c r="K30" s="13" t="s">
        <v>356</v>
      </c>
    </row>
    <row r="31" spans="1:11" s="14" customFormat="1" ht="15" customHeight="1">
      <c r="A31" s="12"/>
      <c r="B31" s="38" t="str">
        <f t="shared" si="0"/>
        <v>Bahnbaufirmen - Preisbasis 2004) </v>
      </c>
      <c r="C31" s="13" t="s">
        <v>165</v>
      </c>
      <c r="D31" s="22" t="s">
        <v>0</v>
      </c>
      <c r="E31" s="24" t="s">
        <v>166</v>
      </c>
      <c r="F31" s="22" t="s">
        <v>111</v>
      </c>
      <c r="G31" s="22" t="s">
        <v>111</v>
      </c>
      <c r="H31" s="13" t="s">
        <v>165</v>
      </c>
      <c r="I31" s="22" t="s">
        <v>167</v>
      </c>
      <c r="J31" s="22" t="s">
        <v>168</v>
      </c>
      <c r="K31" s="13" t="s">
        <v>357</v>
      </c>
    </row>
    <row r="32" spans="1:11" s="14" customFormat="1" ht="20.25">
      <c r="A32" s="12">
        <v>25</v>
      </c>
      <c r="B32" s="38" t="str">
        <f t="shared" si="0"/>
        <v>frei</v>
      </c>
      <c r="C32" s="19" t="s">
        <v>169</v>
      </c>
      <c r="D32" s="22" t="s">
        <v>121</v>
      </c>
      <c r="E32" s="24" t="s">
        <v>170</v>
      </c>
      <c r="F32" s="22" t="s">
        <v>121</v>
      </c>
      <c r="G32" s="22" t="s">
        <v>121</v>
      </c>
      <c r="H32" s="19" t="s">
        <v>169</v>
      </c>
      <c r="I32" s="22"/>
      <c r="J32" s="22"/>
      <c r="K32" s="19"/>
    </row>
    <row r="33" spans="1:11" s="14" customFormat="1" ht="20.25">
      <c r="A33" s="12">
        <v>26</v>
      </c>
      <c r="B33" s="38" t="str">
        <f t="shared" si="0"/>
        <v>Richten / Stopfen</v>
      </c>
      <c r="C33" s="13" t="s">
        <v>171</v>
      </c>
      <c r="D33" s="22" t="s">
        <v>157</v>
      </c>
      <c r="E33" s="24" t="s">
        <v>172</v>
      </c>
      <c r="F33" s="22" t="s">
        <v>130</v>
      </c>
      <c r="G33" s="22" t="s">
        <v>130</v>
      </c>
      <c r="H33" s="13" t="s">
        <v>171</v>
      </c>
      <c r="I33" s="22" t="s">
        <v>173</v>
      </c>
      <c r="J33" s="22" t="s">
        <v>173</v>
      </c>
      <c r="K33" s="13" t="s">
        <v>358</v>
      </c>
    </row>
    <row r="34" spans="1:11" s="14" customFormat="1" ht="20.25">
      <c r="A34" s="12">
        <v>27</v>
      </c>
      <c r="B34" s="38" t="str">
        <f t="shared" si="0"/>
        <v>Schleifen</v>
      </c>
      <c r="C34" s="13" t="s">
        <v>14</v>
      </c>
      <c r="D34" s="22" t="s">
        <v>162</v>
      </c>
      <c r="E34" s="24" t="s">
        <v>174</v>
      </c>
      <c r="F34" s="22" t="s">
        <v>175</v>
      </c>
      <c r="G34" s="22" t="s">
        <v>175</v>
      </c>
      <c r="H34" s="13" t="s">
        <v>14</v>
      </c>
      <c r="I34" s="22" t="s">
        <v>176</v>
      </c>
      <c r="J34" s="22" t="s">
        <v>176</v>
      </c>
      <c r="K34" s="13" t="s">
        <v>359</v>
      </c>
    </row>
    <row r="35" spans="1:11" s="14" customFormat="1" ht="20.25">
      <c r="A35" s="12">
        <v>28</v>
      </c>
      <c r="B35" s="38" t="str">
        <f t="shared" si="0"/>
        <v>Schotterreinigung</v>
      </c>
      <c r="C35" s="13" t="s">
        <v>177</v>
      </c>
      <c r="D35" s="22" t="s">
        <v>111</v>
      </c>
      <c r="E35" s="24" t="s">
        <v>112</v>
      </c>
      <c r="F35" s="22" t="s">
        <v>178</v>
      </c>
      <c r="G35" s="22" t="s">
        <v>178</v>
      </c>
      <c r="H35" s="13" t="s">
        <v>177</v>
      </c>
      <c r="I35" s="22" t="s">
        <v>113</v>
      </c>
      <c r="J35" s="22" t="s">
        <v>113</v>
      </c>
      <c r="K35" s="13" t="s">
        <v>384</v>
      </c>
    </row>
    <row r="36" spans="1:11" s="14" customFormat="1" ht="20.25">
      <c r="A36" s="12">
        <v>29</v>
      </c>
      <c r="B36" s="38" t="str">
        <f t="shared" si="0"/>
        <v>Schotteraustausch </v>
      </c>
      <c r="C36" s="13" t="s">
        <v>120</v>
      </c>
      <c r="D36" s="22" t="s">
        <v>121</v>
      </c>
      <c r="E36" s="24" t="s">
        <v>179</v>
      </c>
      <c r="F36" s="22" t="s">
        <v>180</v>
      </c>
      <c r="G36" s="22" t="s">
        <v>180</v>
      </c>
      <c r="H36" s="13" t="s">
        <v>120</v>
      </c>
      <c r="I36" s="22" t="s">
        <v>181</v>
      </c>
      <c r="J36" s="22" t="s">
        <v>181</v>
      </c>
      <c r="K36" s="13" t="s">
        <v>360</v>
      </c>
    </row>
    <row r="37" spans="1:11" s="14" customFormat="1" ht="20.25">
      <c r="A37" s="12">
        <v>30</v>
      </c>
      <c r="B37" s="38" t="str">
        <f t="shared" si="0"/>
        <v>Schwellenaustausch</v>
      </c>
      <c r="C37" s="13" t="s">
        <v>129</v>
      </c>
      <c r="D37" s="22" t="s">
        <v>130</v>
      </c>
      <c r="E37" s="24" t="s">
        <v>122</v>
      </c>
      <c r="F37" s="22" t="s">
        <v>182</v>
      </c>
      <c r="G37" s="22" t="s">
        <v>182</v>
      </c>
      <c r="H37" s="13" t="s">
        <v>129</v>
      </c>
      <c r="I37" s="22" t="s">
        <v>132</v>
      </c>
      <c r="J37" s="22" t="s">
        <v>132</v>
      </c>
      <c r="K37" s="13" t="s">
        <v>349</v>
      </c>
    </row>
    <row r="38" spans="1:11" s="14" customFormat="1" ht="20.25">
      <c r="A38" s="12">
        <v>31</v>
      </c>
      <c r="B38" s="38" t="str">
        <f t="shared" si="0"/>
        <v>Schotter</v>
      </c>
      <c r="C38" s="13" t="s">
        <v>183</v>
      </c>
      <c r="D38" s="22" t="s">
        <v>175</v>
      </c>
      <c r="E38" s="24" t="s">
        <v>184</v>
      </c>
      <c r="F38" s="22" t="s">
        <v>185</v>
      </c>
      <c r="G38" s="22" t="s">
        <v>185</v>
      </c>
      <c r="H38" s="13" t="s">
        <v>183</v>
      </c>
      <c r="I38" s="22" t="s">
        <v>175</v>
      </c>
      <c r="J38" s="22" t="s">
        <v>175</v>
      </c>
      <c r="K38" s="13" t="s">
        <v>175</v>
      </c>
    </row>
    <row r="39" spans="1:11" s="14" customFormat="1" ht="20.25">
      <c r="A39" s="12">
        <v>32</v>
      </c>
      <c r="B39" s="38" t="str">
        <f t="shared" si="0"/>
        <v>Schwelle o. Sohle</v>
      </c>
      <c r="C39" s="13" t="s">
        <v>186</v>
      </c>
      <c r="D39" s="22" t="s">
        <v>178</v>
      </c>
      <c r="E39" s="24" t="s">
        <v>187</v>
      </c>
      <c r="F39" s="22" t="s">
        <v>188</v>
      </c>
      <c r="G39" s="22" t="s">
        <v>188</v>
      </c>
      <c r="H39" s="13" t="s">
        <v>186</v>
      </c>
      <c r="I39" s="22" t="s">
        <v>189</v>
      </c>
      <c r="J39" s="22" t="s">
        <v>189</v>
      </c>
      <c r="K39" s="13" t="s">
        <v>387</v>
      </c>
    </row>
    <row r="40" spans="1:11" s="14" customFormat="1" ht="20.25">
      <c r="A40" s="12">
        <v>33</v>
      </c>
      <c r="B40" s="38" t="str">
        <f t="shared" si="0"/>
        <v>Schwelle m. Sohle</v>
      </c>
      <c r="C40" s="13" t="s">
        <v>190</v>
      </c>
      <c r="D40" s="22" t="s">
        <v>180</v>
      </c>
      <c r="E40" s="24" t="s">
        <v>191</v>
      </c>
      <c r="F40" s="22" t="s">
        <v>192</v>
      </c>
      <c r="G40" s="22" t="s">
        <v>192</v>
      </c>
      <c r="H40" s="13" t="s">
        <v>190</v>
      </c>
      <c r="I40" s="22" t="s">
        <v>193</v>
      </c>
      <c r="J40" s="22" t="s">
        <v>193</v>
      </c>
      <c r="K40" s="13" t="s">
        <v>361</v>
      </c>
    </row>
    <row r="41" spans="1:11" s="14" customFormat="1" ht="20.25">
      <c r="A41" s="12">
        <v>34</v>
      </c>
      <c r="B41" s="38" t="str">
        <f t="shared" si="0"/>
        <v>Schwellenrecycling</v>
      </c>
      <c r="C41" s="13" t="s">
        <v>194</v>
      </c>
      <c r="D41" s="22" t="s">
        <v>182</v>
      </c>
      <c r="E41" s="24" t="s">
        <v>195</v>
      </c>
      <c r="F41" s="22" t="s">
        <v>196</v>
      </c>
      <c r="G41" s="22" t="s">
        <v>196</v>
      </c>
      <c r="H41" s="13" t="s">
        <v>194</v>
      </c>
      <c r="I41" s="22" t="s">
        <v>197</v>
      </c>
      <c r="J41" s="22" t="s">
        <v>197</v>
      </c>
      <c r="K41" s="13" t="s">
        <v>362</v>
      </c>
    </row>
    <row r="42" spans="1:11" s="14" customFormat="1" ht="20.25">
      <c r="A42" s="12">
        <v>35</v>
      </c>
      <c r="B42" s="38" t="str">
        <f t="shared" si="0"/>
        <v>Sohle incl. Montage</v>
      </c>
      <c r="C42" s="13" t="s">
        <v>198</v>
      </c>
      <c r="D42" s="22" t="s">
        <v>199</v>
      </c>
      <c r="E42" s="24" t="s">
        <v>200</v>
      </c>
      <c r="F42" s="22" t="s">
        <v>201</v>
      </c>
      <c r="G42" s="22" t="s">
        <v>201</v>
      </c>
      <c r="H42" s="13" t="s">
        <v>198</v>
      </c>
      <c r="I42" s="22" t="s">
        <v>202</v>
      </c>
      <c r="J42" s="22" t="s">
        <v>202</v>
      </c>
      <c r="K42" s="13" t="s">
        <v>363</v>
      </c>
    </row>
    <row r="43" spans="1:11" s="14" customFormat="1" ht="20.25">
      <c r="A43" s="12">
        <v>36</v>
      </c>
      <c r="B43" s="38" t="str">
        <f t="shared" si="0"/>
        <v>Schottervolumen</v>
      </c>
      <c r="C43" s="13" t="s">
        <v>203</v>
      </c>
      <c r="D43" s="22" t="s">
        <v>188</v>
      </c>
      <c r="E43" s="24" t="s">
        <v>204</v>
      </c>
      <c r="F43" s="22" t="s">
        <v>201</v>
      </c>
      <c r="G43" s="22" t="s">
        <v>201</v>
      </c>
      <c r="H43" s="13" t="s">
        <v>203</v>
      </c>
      <c r="I43" s="22" t="s">
        <v>205</v>
      </c>
      <c r="J43" s="22" t="s">
        <v>205</v>
      </c>
      <c r="K43" s="13" t="s">
        <v>364</v>
      </c>
    </row>
    <row r="44" spans="1:11" s="14" customFormat="1" ht="20.25">
      <c r="A44" s="12">
        <v>37</v>
      </c>
      <c r="B44" s="38" t="str">
        <f t="shared" si="0"/>
        <v>Schwellentyp</v>
      </c>
      <c r="C44" s="13" t="s">
        <v>206</v>
      </c>
      <c r="D44" s="22" t="s">
        <v>192</v>
      </c>
      <c r="E44" s="24" t="s">
        <v>207</v>
      </c>
      <c r="F44" s="22" t="s">
        <v>201</v>
      </c>
      <c r="G44" s="22" t="s">
        <v>201</v>
      </c>
      <c r="H44" s="13" t="s">
        <v>206</v>
      </c>
      <c r="I44" s="22" t="s">
        <v>208</v>
      </c>
      <c r="J44" s="22" t="s">
        <v>208</v>
      </c>
      <c r="K44" s="13" t="s">
        <v>365</v>
      </c>
    </row>
    <row r="45" spans="1:11" s="14" customFormat="1" ht="20.25">
      <c r="A45" s="12">
        <v>38</v>
      </c>
      <c r="B45" s="38" t="str">
        <f t="shared" si="0"/>
        <v>Schwellenabstand</v>
      </c>
      <c r="C45" s="13" t="s">
        <v>209</v>
      </c>
      <c r="D45" s="22" t="s">
        <v>196</v>
      </c>
      <c r="E45" s="24" t="s">
        <v>210</v>
      </c>
      <c r="F45" s="22" t="s">
        <v>201</v>
      </c>
      <c r="G45" s="22" t="s">
        <v>201</v>
      </c>
      <c r="H45" s="13" t="s">
        <v>209</v>
      </c>
      <c r="I45" s="22" t="s">
        <v>211</v>
      </c>
      <c r="J45" s="22" t="s">
        <v>211</v>
      </c>
      <c r="K45" s="13" t="s">
        <v>366</v>
      </c>
    </row>
    <row r="46" spans="1:11" s="14" customFormat="1" ht="20.25">
      <c r="A46" s="12">
        <v>39</v>
      </c>
      <c r="B46" s="38" t="str">
        <f t="shared" si="0"/>
        <v> € / km</v>
      </c>
      <c r="C46" s="13" t="s">
        <v>212</v>
      </c>
      <c r="D46" s="22" t="s">
        <v>201</v>
      </c>
      <c r="E46" s="24" t="s">
        <v>212</v>
      </c>
      <c r="F46" s="22" t="s">
        <v>201</v>
      </c>
      <c r="G46" s="22" t="s">
        <v>201</v>
      </c>
      <c r="H46" s="13" t="s">
        <v>212</v>
      </c>
      <c r="I46" s="22" t="s">
        <v>201</v>
      </c>
      <c r="J46" s="22" t="s">
        <v>201</v>
      </c>
      <c r="K46" s="13" t="s">
        <v>379</v>
      </c>
    </row>
    <row r="47" spans="1:11" s="14" customFormat="1" ht="20.25">
      <c r="A47" s="12">
        <v>40</v>
      </c>
      <c r="B47" s="38" t="str">
        <f t="shared" si="0"/>
        <v> € / km</v>
      </c>
      <c r="C47" s="13" t="s">
        <v>212</v>
      </c>
      <c r="D47" s="22" t="s">
        <v>201</v>
      </c>
      <c r="E47" s="24" t="s">
        <v>212</v>
      </c>
      <c r="F47" s="22" t="s">
        <v>213</v>
      </c>
      <c r="G47" s="22" t="s">
        <v>213</v>
      </c>
      <c r="H47" s="13" t="s">
        <v>212</v>
      </c>
      <c r="I47" s="22" t="s">
        <v>201</v>
      </c>
      <c r="J47" s="22" t="s">
        <v>201</v>
      </c>
      <c r="K47" s="13" t="s">
        <v>379</v>
      </c>
    </row>
    <row r="48" spans="1:11" s="14" customFormat="1" ht="20.25">
      <c r="A48" s="12">
        <v>41</v>
      </c>
      <c r="B48" s="38" t="str">
        <f t="shared" si="0"/>
        <v> € / km</v>
      </c>
      <c r="C48" s="13" t="s">
        <v>212</v>
      </c>
      <c r="D48" s="22" t="s">
        <v>201</v>
      </c>
      <c r="E48" s="24" t="s">
        <v>212</v>
      </c>
      <c r="F48" s="22" t="s">
        <v>214</v>
      </c>
      <c r="G48" s="22" t="s">
        <v>214</v>
      </c>
      <c r="H48" s="13" t="s">
        <v>212</v>
      </c>
      <c r="I48" s="22" t="s">
        <v>201</v>
      </c>
      <c r="J48" s="22" t="s">
        <v>201</v>
      </c>
      <c r="K48" s="13" t="s">
        <v>379</v>
      </c>
    </row>
    <row r="49" spans="1:11" s="14" customFormat="1" ht="20.25">
      <c r="A49" s="12">
        <v>42</v>
      </c>
      <c r="B49" s="38" t="str">
        <f t="shared" si="0"/>
        <v> € / km</v>
      </c>
      <c r="C49" s="13" t="s">
        <v>212</v>
      </c>
      <c r="D49" s="22" t="s">
        <v>201</v>
      </c>
      <c r="E49" s="24" t="s">
        <v>212</v>
      </c>
      <c r="F49" s="22" t="s">
        <v>214</v>
      </c>
      <c r="G49" s="22" t="s">
        <v>214</v>
      </c>
      <c r="H49" s="13" t="s">
        <v>212</v>
      </c>
      <c r="I49" s="22" t="s">
        <v>201</v>
      </c>
      <c r="J49" s="22" t="s">
        <v>201</v>
      </c>
      <c r="K49" s="13" t="s">
        <v>379</v>
      </c>
    </row>
    <row r="50" spans="1:11" s="14" customFormat="1" ht="20.25">
      <c r="A50" s="12">
        <v>43</v>
      </c>
      <c r="B50" s="38" t="str">
        <f t="shared" si="0"/>
        <v> € / km</v>
      </c>
      <c r="C50" s="13" t="s">
        <v>212</v>
      </c>
      <c r="D50" s="22" t="s">
        <v>201</v>
      </c>
      <c r="E50" s="24" t="s">
        <v>212</v>
      </c>
      <c r="F50" s="22" t="s">
        <v>214</v>
      </c>
      <c r="G50" s="22" t="s">
        <v>214</v>
      </c>
      <c r="H50" s="13" t="s">
        <v>212</v>
      </c>
      <c r="I50" s="22" t="s">
        <v>201</v>
      </c>
      <c r="J50" s="22" t="s">
        <v>201</v>
      </c>
      <c r="K50" s="13" t="s">
        <v>379</v>
      </c>
    </row>
    <row r="51" spans="1:11" s="14" customFormat="1" ht="20.25">
      <c r="A51" s="12">
        <v>44</v>
      </c>
      <c r="B51" s="38" t="str">
        <f t="shared" si="0"/>
        <v>€ / t</v>
      </c>
      <c r="C51" s="13" t="s">
        <v>215</v>
      </c>
      <c r="D51" s="22" t="s">
        <v>213</v>
      </c>
      <c r="E51" s="24" t="s">
        <v>216</v>
      </c>
      <c r="F51" s="22" t="s">
        <v>214</v>
      </c>
      <c r="G51" s="22" t="s">
        <v>214</v>
      </c>
      <c r="H51" s="13" t="s">
        <v>215</v>
      </c>
      <c r="I51" s="22" t="s">
        <v>215</v>
      </c>
      <c r="J51" s="22" t="s">
        <v>215</v>
      </c>
      <c r="K51" s="13" t="s">
        <v>380</v>
      </c>
    </row>
    <row r="52" spans="1:11" s="14" customFormat="1" ht="20.25">
      <c r="A52" s="12">
        <v>45</v>
      </c>
      <c r="B52" s="38" t="str">
        <f t="shared" si="0"/>
        <v>€ / Stck</v>
      </c>
      <c r="C52" s="13" t="s">
        <v>217</v>
      </c>
      <c r="D52" s="22" t="s">
        <v>214</v>
      </c>
      <c r="E52" s="24" t="s">
        <v>218</v>
      </c>
      <c r="F52" s="22" t="s">
        <v>219</v>
      </c>
      <c r="G52" s="22" t="s">
        <v>219</v>
      </c>
      <c r="H52" s="13" t="s">
        <v>217</v>
      </c>
      <c r="I52" s="22" t="s">
        <v>220</v>
      </c>
      <c r="J52" s="22" t="s">
        <v>220</v>
      </c>
      <c r="K52" s="13" t="s">
        <v>381</v>
      </c>
    </row>
    <row r="53" spans="1:11" s="14" customFormat="1" ht="20.25">
      <c r="A53" s="12">
        <v>46</v>
      </c>
      <c r="B53" s="38" t="str">
        <f t="shared" si="0"/>
        <v>€ / Stck</v>
      </c>
      <c r="C53" s="13" t="s">
        <v>217</v>
      </c>
      <c r="D53" s="22" t="s">
        <v>214</v>
      </c>
      <c r="E53" s="24" t="s">
        <v>218</v>
      </c>
      <c r="F53" s="22" t="s">
        <v>221</v>
      </c>
      <c r="G53" s="22" t="s">
        <v>221</v>
      </c>
      <c r="H53" s="13" t="s">
        <v>217</v>
      </c>
      <c r="I53" s="22" t="s">
        <v>220</v>
      </c>
      <c r="J53" s="22" t="s">
        <v>220</v>
      </c>
      <c r="K53" s="13" t="s">
        <v>381</v>
      </c>
    </row>
    <row r="54" spans="1:11" s="14" customFormat="1" ht="20.25">
      <c r="A54" s="12">
        <v>47</v>
      </c>
      <c r="B54" s="38" t="str">
        <f t="shared" si="0"/>
        <v>€ / Stck</v>
      </c>
      <c r="C54" s="13" t="s">
        <v>217</v>
      </c>
      <c r="D54" s="22" t="s">
        <v>214</v>
      </c>
      <c r="E54" s="24" t="s">
        <v>218</v>
      </c>
      <c r="F54" s="22" t="s">
        <v>222</v>
      </c>
      <c r="G54" s="22" t="s">
        <v>222</v>
      </c>
      <c r="H54" s="13" t="s">
        <v>217</v>
      </c>
      <c r="I54" s="22" t="s">
        <v>220</v>
      </c>
      <c r="J54" s="22" t="s">
        <v>220</v>
      </c>
      <c r="K54" s="13" t="s">
        <v>381</v>
      </c>
    </row>
    <row r="55" spans="1:11" s="14" customFormat="1" ht="20.25">
      <c r="A55" s="12">
        <v>48</v>
      </c>
      <c r="B55" s="38" t="str">
        <f t="shared" si="0"/>
        <v>€ / Stck</v>
      </c>
      <c r="C55" s="13" t="s">
        <v>217</v>
      </c>
      <c r="D55" s="22" t="s">
        <v>214</v>
      </c>
      <c r="E55" s="24" t="s">
        <v>218</v>
      </c>
      <c r="F55" s="22" t="s">
        <v>223</v>
      </c>
      <c r="G55" s="22" t="s">
        <v>223</v>
      </c>
      <c r="H55" s="13" t="s">
        <v>217</v>
      </c>
      <c r="I55" s="22" t="s">
        <v>220</v>
      </c>
      <c r="J55" s="22" t="s">
        <v>220</v>
      </c>
      <c r="K55" s="13" t="s">
        <v>382</v>
      </c>
    </row>
    <row r="56" spans="1:11" s="14" customFormat="1" ht="20.25">
      <c r="A56" s="12">
        <v>49</v>
      </c>
      <c r="B56" s="38" t="str">
        <f t="shared" si="0"/>
        <v>t /m</v>
      </c>
      <c r="C56" s="13" t="s">
        <v>224</v>
      </c>
      <c r="D56" s="22" t="s">
        <v>219</v>
      </c>
      <c r="E56" s="24" t="s">
        <v>225</v>
      </c>
      <c r="F56" s="22" t="s">
        <v>226</v>
      </c>
      <c r="G56" s="22" t="s">
        <v>226</v>
      </c>
      <c r="H56" s="13" t="s">
        <v>224</v>
      </c>
      <c r="I56" s="22" t="s">
        <v>227</v>
      </c>
      <c r="J56" s="22" t="s">
        <v>227</v>
      </c>
      <c r="K56" s="13" t="s">
        <v>224</v>
      </c>
    </row>
    <row r="57" spans="1:11" s="14" customFormat="1" ht="20.25">
      <c r="A57" s="12">
        <v>50</v>
      </c>
      <c r="B57" s="38" t="str">
        <f t="shared" si="0"/>
        <v>Typ</v>
      </c>
      <c r="C57" s="13" t="s">
        <v>228</v>
      </c>
      <c r="D57" s="22" t="s">
        <v>221</v>
      </c>
      <c r="E57" s="24" t="s">
        <v>229</v>
      </c>
      <c r="F57" s="22" t="s">
        <v>226</v>
      </c>
      <c r="G57" s="22" t="s">
        <v>226</v>
      </c>
      <c r="H57" s="13" t="s">
        <v>228</v>
      </c>
      <c r="I57" s="22" t="s">
        <v>230</v>
      </c>
      <c r="J57" s="22" t="s">
        <v>230</v>
      </c>
      <c r="K57" s="13" t="s">
        <v>228</v>
      </c>
    </row>
    <row r="58" spans="1:11" s="14" customFormat="1" ht="20.25">
      <c r="A58" s="12">
        <v>51</v>
      </c>
      <c r="B58" s="38" t="str">
        <f t="shared" si="0"/>
        <v>m</v>
      </c>
      <c r="C58" s="13" t="s">
        <v>222</v>
      </c>
      <c r="D58" s="22" t="s">
        <v>222</v>
      </c>
      <c r="E58" s="24" t="s">
        <v>231</v>
      </c>
      <c r="F58" s="22" t="s">
        <v>226</v>
      </c>
      <c r="G58" s="22" t="s">
        <v>226</v>
      </c>
      <c r="H58" s="13" t="s">
        <v>222</v>
      </c>
      <c r="I58" s="22" t="s">
        <v>222</v>
      </c>
      <c r="J58" s="22" t="s">
        <v>222</v>
      </c>
      <c r="K58" s="13" t="s">
        <v>222</v>
      </c>
    </row>
    <row r="59" spans="1:11" s="14" customFormat="1" ht="20.25">
      <c r="A59" s="12">
        <v>52</v>
      </c>
      <c r="B59" s="38" t="str">
        <f t="shared" si="0"/>
        <v>(mit 1/3 Neusschotter)</v>
      </c>
      <c r="C59" s="13" t="s">
        <v>232</v>
      </c>
      <c r="D59" s="22" t="s">
        <v>233</v>
      </c>
      <c r="E59" s="24" t="s">
        <v>234</v>
      </c>
      <c r="F59" s="22" t="s">
        <v>235</v>
      </c>
      <c r="G59" s="22" t="s">
        <v>235</v>
      </c>
      <c r="H59" s="13" t="s">
        <v>232</v>
      </c>
      <c r="I59" s="22" t="s">
        <v>236</v>
      </c>
      <c r="J59" s="22" t="s">
        <v>236</v>
      </c>
      <c r="K59" s="13" t="s">
        <v>367</v>
      </c>
    </row>
    <row r="60" spans="1:11" s="14" customFormat="1" ht="20.25">
      <c r="A60" s="12">
        <v>53</v>
      </c>
      <c r="B60" s="38" t="str">
        <f t="shared" si="0"/>
        <v>frei Baustelle abgeladen</v>
      </c>
      <c r="C60" s="13" t="s">
        <v>237</v>
      </c>
      <c r="D60" s="22" t="s">
        <v>238</v>
      </c>
      <c r="E60" s="24" t="s">
        <v>239</v>
      </c>
      <c r="F60" s="22" t="s">
        <v>240</v>
      </c>
      <c r="G60" s="22" t="s">
        <v>240</v>
      </c>
      <c r="H60" s="13" t="s">
        <v>237</v>
      </c>
      <c r="I60" s="22" t="s">
        <v>241</v>
      </c>
      <c r="J60" s="22" t="s">
        <v>241</v>
      </c>
      <c r="K60" s="13" t="s">
        <v>368</v>
      </c>
    </row>
    <row r="61" spans="1:11" s="14" customFormat="1" ht="30">
      <c r="A61" s="12">
        <v>54</v>
      </c>
      <c r="B61" s="38" t="str">
        <f t="shared" si="0"/>
        <v>frei Baustelle abgeladen</v>
      </c>
      <c r="C61" s="13" t="s">
        <v>237</v>
      </c>
      <c r="D61" s="22" t="s">
        <v>238</v>
      </c>
      <c r="E61" s="24" t="s">
        <v>239</v>
      </c>
      <c r="F61" s="22" t="s">
        <v>242</v>
      </c>
      <c r="G61" s="22" t="s">
        <v>242</v>
      </c>
      <c r="H61" s="13" t="s">
        <v>237</v>
      </c>
      <c r="I61" s="22" t="s">
        <v>241</v>
      </c>
      <c r="J61" s="22" t="s">
        <v>241</v>
      </c>
      <c r="K61" s="13" t="s">
        <v>368</v>
      </c>
    </row>
    <row r="62" spans="1:11" s="14" customFormat="1" ht="20.25">
      <c r="A62" s="12">
        <v>55</v>
      </c>
      <c r="B62" s="38" t="str">
        <f t="shared" si="0"/>
        <v>frei Baustelle abgeladen</v>
      </c>
      <c r="C62" s="13" t="s">
        <v>237</v>
      </c>
      <c r="D62" s="22" t="s">
        <v>238</v>
      </c>
      <c r="E62" s="24" t="s">
        <v>239</v>
      </c>
      <c r="F62" s="22" t="s">
        <v>243</v>
      </c>
      <c r="G62" s="22" t="s">
        <v>243</v>
      </c>
      <c r="H62" s="13" t="s">
        <v>237</v>
      </c>
      <c r="I62" s="22" t="s">
        <v>241</v>
      </c>
      <c r="J62" s="22" t="s">
        <v>241</v>
      </c>
      <c r="K62" s="13" t="s">
        <v>368</v>
      </c>
    </row>
    <row r="63" spans="1:11" s="14" customFormat="1" ht="20.25">
      <c r="A63" s="12">
        <v>56</v>
      </c>
      <c r="B63" s="38" t="str">
        <f t="shared" si="0"/>
        <v>ab Baustelle entsorgen</v>
      </c>
      <c r="C63" s="13" t="s">
        <v>244</v>
      </c>
      <c r="D63" s="22" t="s">
        <v>245</v>
      </c>
      <c r="E63" s="24" t="s">
        <v>246</v>
      </c>
      <c r="F63" s="22" t="s">
        <v>247</v>
      </c>
      <c r="G63" s="22" t="s">
        <v>247</v>
      </c>
      <c r="H63" s="13" t="s">
        <v>244</v>
      </c>
      <c r="I63" s="22" t="s">
        <v>248</v>
      </c>
      <c r="J63" s="22" t="s">
        <v>248</v>
      </c>
      <c r="K63" s="13" t="s">
        <v>369</v>
      </c>
    </row>
    <row r="64" spans="1:11" s="14" customFormat="1" ht="30">
      <c r="A64" s="12">
        <v>57</v>
      </c>
      <c r="B64" s="38" t="str">
        <f t="shared" si="0"/>
        <v>Zurück zur Eingabe unbesohlte Schwellen</v>
      </c>
      <c r="C64" s="13" t="s">
        <v>249</v>
      </c>
      <c r="D64" s="22" t="s">
        <v>240</v>
      </c>
      <c r="E64" s="24" t="s">
        <v>250</v>
      </c>
      <c r="F64" s="22" t="s">
        <v>251</v>
      </c>
      <c r="G64" s="22" t="s">
        <v>251</v>
      </c>
      <c r="H64" s="13" t="s">
        <v>249</v>
      </c>
      <c r="I64" s="22" t="s">
        <v>252</v>
      </c>
      <c r="J64" s="22" t="s">
        <v>252</v>
      </c>
      <c r="K64" s="13" t="s">
        <v>370</v>
      </c>
    </row>
    <row r="65" spans="1:11" s="14" customFormat="1" ht="30.75">
      <c r="A65" s="12">
        <v>58</v>
      </c>
      <c r="B65" s="38" t="str">
        <f t="shared" si="0"/>
        <v>Wirtschaftlichkeitsvergleichbesohlte / unbesohlte Schwellen</v>
      </c>
      <c r="C65" s="13" t="s">
        <v>253</v>
      </c>
      <c r="D65" s="22" t="s">
        <v>242</v>
      </c>
      <c r="E65" s="24" t="s">
        <v>254</v>
      </c>
      <c r="F65" s="22" t="s">
        <v>255</v>
      </c>
      <c r="G65" s="22" t="s">
        <v>255</v>
      </c>
      <c r="H65" s="13" t="s">
        <v>253</v>
      </c>
      <c r="I65" s="22" t="s">
        <v>256</v>
      </c>
      <c r="J65" s="22" t="s">
        <v>256</v>
      </c>
      <c r="K65" s="13" t="s">
        <v>371</v>
      </c>
    </row>
    <row r="66" spans="1:11" s="14" customFormat="1" ht="20.25">
      <c r="A66" s="12">
        <v>59</v>
      </c>
      <c r="B66" s="38" t="str">
        <f t="shared" si="0"/>
        <v>€/km</v>
      </c>
      <c r="C66" s="13" t="s">
        <v>243</v>
      </c>
      <c r="D66" s="22" t="s">
        <v>243</v>
      </c>
      <c r="E66" s="24" t="s">
        <v>243</v>
      </c>
      <c r="F66" s="22" t="s">
        <v>257</v>
      </c>
      <c r="G66" s="22" t="s">
        <v>257</v>
      </c>
      <c r="H66" s="13" t="s">
        <v>243</v>
      </c>
      <c r="I66" s="22" t="s">
        <v>201</v>
      </c>
      <c r="J66" s="22" t="s">
        <v>201</v>
      </c>
      <c r="K66" s="13" t="s">
        <v>383</v>
      </c>
    </row>
    <row r="67" spans="1:11" s="14" customFormat="1" ht="30">
      <c r="A67" s="12">
        <v>60</v>
      </c>
      <c r="B67" s="38" t="str">
        <f t="shared" si="0"/>
        <v>besohlt</v>
      </c>
      <c r="C67" s="13" t="s">
        <v>258</v>
      </c>
      <c r="D67" s="22" t="s">
        <v>247</v>
      </c>
      <c r="E67" s="24" t="s">
        <v>259</v>
      </c>
      <c r="F67" s="22" t="s">
        <v>260</v>
      </c>
      <c r="G67" s="22" t="s">
        <v>260</v>
      </c>
      <c r="H67" s="13" t="s">
        <v>258</v>
      </c>
      <c r="I67" s="22" t="s">
        <v>261</v>
      </c>
      <c r="J67" s="22" t="s">
        <v>261</v>
      </c>
      <c r="K67" s="13" t="s">
        <v>372</v>
      </c>
    </row>
    <row r="68" spans="1:11" s="14" customFormat="1" ht="20.25">
      <c r="A68" s="12">
        <v>61</v>
      </c>
      <c r="B68" s="38" t="str">
        <f t="shared" si="0"/>
        <v>unbesohlt</v>
      </c>
      <c r="C68" s="13" t="s">
        <v>262</v>
      </c>
      <c r="D68" s="22" t="s">
        <v>251</v>
      </c>
      <c r="E68" s="24" t="s">
        <v>263</v>
      </c>
      <c r="F68" s="22" t="s">
        <v>264</v>
      </c>
      <c r="G68" s="22" t="s">
        <v>264</v>
      </c>
      <c r="H68" s="13" t="s">
        <v>262</v>
      </c>
      <c r="I68" s="22" t="s">
        <v>265</v>
      </c>
      <c r="J68" s="22" t="s">
        <v>265</v>
      </c>
      <c r="K68" s="13" t="s">
        <v>373</v>
      </c>
    </row>
    <row r="69" spans="1:11" s="14" customFormat="1" ht="30">
      <c r="A69" s="12">
        <v>62</v>
      </c>
      <c r="B69" s="38" t="str">
        <f t="shared" si="0"/>
        <v>Jahre</v>
      </c>
      <c r="C69" s="13" t="s">
        <v>12</v>
      </c>
      <c r="D69" s="22" t="s">
        <v>255</v>
      </c>
      <c r="E69" s="24" t="s">
        <v>108</v>
      </c>
      <c r="F69" s="22" t="s">
        <v>266</v>
      </c>
      <c r="G69" s="22" t="s">
        <v>266</v>
      </c>
      <c r="H69" s="13" t="s">
        <v>12</v>
      </c>
      <c r="I69" s="22" t="s">
        <v>109</v>
      </c>
      <c r="J69" s="22" t="s">
        <v>109</v>
      </c>
      <c r="K69" s="13" t="s">
        <v>347</v>
      </c>
    </row>
    <row r="70" spans="1:11" s="14" customFormat="1" ht="60.75">
      <c r="A70" s="12">
        <v>63</v>
      </c>
      <c r="B70" s="38" t="str">
        <f aca="true" t="shared" si="1" ref="B70:B100">IF(B$2=1,D70,IF(B$2=2,E70,IF(B$2=3,F70,IF(B$2=4,G70,IF(B$2=5,H70,IF(B$2=6,I70,IF(B$2=7,J70,K70)))))))</f>
        <v>Verkehrsfaktor .</v>
      </c>
      <c r="C70" s="13" t="s">
        <v>267</v>
      </c>
      <c r="D70" s="22" t="s">
        <v>257</v>
      </c>
      <c r="E70" s="24" t="s">
        <v>268</v>
      </c>
      <c r="F70" s="22" t="s">
        <v>269</v>
      </c>
      <c r="G70" s="22" t="s">
        <v>269</v>
      </c>
      <c r="H70" s="13" t="s">
        <v>270</v>
      </c>
      <c r="I70" s="22" t="s">
        <v>271</v>
      </c>
      <c r="J70" s="22" t="s">
        <v>271</v>
      </c>
      <c r="K70" s="13" t="s">
        <v>388</v>
      </c>
    </row>
    <row r="71" spans="1:11" s="14" customFormat="1" ht="45">
      <c r="A71" s="12">
        <v>64</v>
      </c>
      <c r="B71" s="38" t="str">
        <f t="shared" si="1"/>
        <v>Minderung des Einflusses besohlter gegenüber unbesohlter Schwellen</v>
      </c>
      <c r="C71" s="13" t="s">
        <v>272</v>
      </c>
      <c r="D71" s="22" t="s">
        <v>260</v>
      </c>
      <c r="E71" s="24" t="s">
        <v>273</v>
      </c>
      <c r="F71" s="22" t="s">
        <v>274</v>
      </c>
      <c r="G71" s="22" t="s">
        <v>274</v>
      </c>
      <c r="H71" s="13" t="s">
        <v>272</v>
      </c>
      <c r="I71" s="22" t="s">
        <v>275</v>
      </c>
      <c r="J71" s="22" t="s">
        <v>275</v>
      </c>
      <c r="K71" s="13" t="s">
        <v>389</v>
      </c>
    </row>
    <row r="72" spans="1:11" s="14" customFormat="1" ht="60.75">
      <c r="A72" s="12">
        <v>65</v>
      </c>
      <c r="B72" s="38" t="str">
        <f t="shared" si="1"/>
        <v>Einfluss der Schotterqualität </v>
      </c>
      <c r="C72" s="13" t="s">
        <v>276</v>
      </c>
      <c r="D72" s="22" t="s">
        <v>264</v>
      </c>
      <c r="E72" s="24" t="s">
        <v>277</v>
      </c>
      <c r="F72" s="22" t="s">
        <v>278</v>
      </c>
      <c r="G72" s="22" t="s">
        <v>278</v>
      </c>
      <c r="H72" s="13" t="s">
        <v>279</v>
      </c>
      <c r="I72" s="22" t="s">
        <v>280</v>
      </c>
      <c r="J72" s="22" t="s">
        <v>280</v>
      </c>
      <c r="K72" s="13" t="s">
        <v>390</v>
      </c>
    </row>
    <row r="73" spans="1:11" s="14" customFormat="1" ht="30.75">
      <c r="A73" s="12">
        <v>66</v>
      </c>
      <c r="B73" s="38" t="str">
        <f t="shared" si="1"/>
        <v>Minderung des Einflusses auf Schottersorte (Kalk- /Hartstein) bei Sohleneinsatz</v>
      </c>
      <c r="C73" s="13" t="s">
        <v>281</v>
      </c>
      <c r="D73" s="22" t="s">
        <v>266</v>
      </c>
      <c r="E73" s="24" t="s">
        <v>277</v>
      </c>
      <c r="F73" s="22" t="s">
        <v>282</v>
      </c>
      <c r="G73" s="22" t="s">
        <v>282</v>
      </c>
      <c r="H73" s="13" t="s">
        <v>281</v>
      </c>
      <c r="I73" s="22" t="s">
        <v>283</v>
      </c>
      <c r="J73" s="22" t="s">
        <v>283</v>
      </c>
      <c r="K73" s="13" t="s">
        <v>374</v>
      </c>
    </row>
    <row r="74" spans="1:11" s="14" customFormat="1" ht="45.75">
      <c r="A74" s="12">
        <v>67</v>
      </c>
      <c r="B74" s="38" t="str">
        <f t="shared" si="1"/>
        <v>Einfluss der Belastung in LT/Jahr ........................................................................................................................</v>
      </c>
      <c r="C74" s="13" t="s">
        <v>284</v>
      </c>
      <c r="D74" s="22" t="s">
        <v>269</v>
      </c>
      <c r="E74" s="24" t="s">
        <v>285</v>
      </c>
      <c r="F74" s="22" t="s">
        <v>286</v>
      </c>
      <c r="G74" s="22" t="s">
        <v>286</v>
      </c>
      <c r="H74" s="13" t="s">
        <v>284</v>
      </c>
      <c r="I74" s="22" t="s">
        <v>287</v>
      </c>
      <c r="J74" s="22" t="s">
        <v>287</v>
      </c>
      <c r="K74" s="13" t="s">
        <v>375</v>
      </c>
    </row>
    <row r="75" spans="1:11" s="14" customFormat="1" ht="45">
      <c r="A75" s="12">
        <v>68</v>
      </c>
      <c r="B75" s="38" t="str">
        <f t="shared" si="1"/>
        <v>Minderung des Einflusses besohlter gegenüber unbesohlter Schwellen</v>
      </c>
      <c r="C75" s="13" t="s">
        <v>272</v>
      </c>
      <c r="D75" s="22" t="s">
        <v>274</v>
      </c>
      <c r="E75" s="24" t="s">
        <v>288</v>
      </c>
      <c r="F75" s="22" t="s">
        <v>289</v>
      </c>
      <c r="G75" s="22" t="s">
        <v>289</v>
      </c>
      <c r="H75" s="13" t="s">
        <v>272</v>
      </c>
      <c r="I75" s="22" t="s">
        <v>290</v>
      </c>
      <c r="J75" s="22" t="s">
        <v>290</v>
      </c>
      <c r="K75" s="13" t="s">
        <v>376</v>
      </c>
    </row>
    <row r="76" spans="1:11" s="14" customFormat="1" ht="60.75">
      <c r="A76" s="12">
        <v>69</v>
      </c>
      <c r="B76" s="38" t="str">
        <f t="shared" si="1"/>
        <v>Reinigungszyklen für Schotter </v>
      </c>
      <c r="C76" s="13" t="s">
        <v>291</v>
      </c>
      <c r="D76" s="22" t="s">
        <v>278</v>
      </c>
      <c r="E76" s="24" t="s">
        <v>292</v>
      </c>
      <c r="F76" s="22" t="s">
        <v>293</v>
      </c>
      <c r="G76" s="22" t="s">
        <v>293</v>
      </c>
      <c r="H76" s="13" t="s">
        <v>294</v>
      </c>
      <c r="I76" s="22" t="s">
        <v>295</v>
      </c>
      <c r="J76" s="22" t="s">
        <v>295</v>
      </c>
      <c r="K76" s="13" t="s">
        <v>391</v>
      </c>
    </row>
    <row r="77" spans="1:11" s="14" customFormat="1" ht="60.75">
      <c r="A77" s="12">
        <v>70</v>
      </c>
      <c r="B77" s="38" t="str">
        <f t="shared" si="1"/>
        <v>Richten und Stopfen  Zyklus </v>
      </c>
      <c r="C77" s="13" t="s">
        <v>296</v>
      </c>
      <c r="D77" s="22" t="s">
        <v>282</v>
      </c>
      <c r="E77" s="24" t="s">
        <v>297</v>
      </c>
      <c r="F77" s="22" t="s">
        <v>298</v>
      </c>
      <c r="G77" s="22" t="s">
        <v>298</v>
      </c>
      <c r="H77" s="13" t="s">
        <v>299</v>
      </c>
      <c r="I77" s="22" t="s">
        <v>300</v>
      </c>
      <c r="J77" s="22" t="s">
        <v>300</v>
      </c>
      <c r="K77" s="13" t="s">
        <v>392</v>
      </c>
    </row>
    <row r="78" spans="1:11" s="14" customFormat="1" ht="60.75">
      <c r="A78" s="12">
        <v>71</v>
      </c>
      <c r="B78" s="38" t="str">
        <f t="shared" si="1"/>
        <v>Schotteraustausch nach Jahren  </v>
      </c>
      <c r="C78" s="13" t="s">
        <v>301</v>
      </c>
      <c r="D78" s="22" t="s">
        <v>286</v>
      </c>
      <c r="E78" s="24" t="s">
        <v>285</v>
      </c>
      <c r="F78" s="22" t="s">
        <v>302</v>
      </c>
      <c r="G78" s="22" t="s">
        <v>302</v>
      </c>
      <c r="H78" s="13" t="s">
        <v>303</v>
      </c>
      <c r="I78" s="22" t="s">
        <v>304</v>
      </c>
      <c r="J78" s="22" t="s">
        <v>304</v>
      </c>
      <c r="K78" s="13" t="s">
        <v>393</v>
      </c>
    </row>
    <row r="79" spans="1:11" s="14" customFormat="1" ht="63">
      <c r="A79" s="12">
        <v>72</v>
      </c>
      <c r="B79" s="38" t="str">
        <f t="shared" si="1"/>
        <v>Schwellenaustausch nach Verschleiss...............................................................................................................................................................</v>
      </c>
      <c r="C79" s="13" t="s">
        <v>305</v>
      </c>
      <c r="D79" s="22" t="s">
        <v>289</v>
      </c>
      <c r="E79" s="24" t="s">
        <v>288</v>
      </c>
      <c r="F79" s="14" t="s">
        <v>306</v>
      </c>
      <c r="G79" s="14" t="s">
        <v>306</v>
      </c>
      <c r="H79" s="13" t="s">
        <v>305</v>
      </c>
      <c r="I79" s="22" t="s">
        <v>307</v>
      </c>
      <c r="J79" s="22" t="s">
        <v>307</v>
      </c>
      <c r="K79" s="13" t="s">
        <v>377</v>
      </c>
    </row>
    <row r="80" spans="1:11" s="14" customFormat="1" ht="60.75">
      <c r="A80" s="12">
        <v>73</v>
      </c>
      <c r="B80" s="38" t="str">
        <f t="shared" si="1"/>
        <v>Schleifen nach .</v>
      </c>
      <c r="C80" s="13" t="s">
        <v>308</v>
      </c>
      <c r="D80" s="22" t="s">
        <v>293</v>
      </c>
      <c r="E80" s="24" t="s">
        <v>174</v>
      </c>
      <c r="F80" s="14" t="s">
        <v>309</v>
      </c>
      <c r="G80" s="14" t="s">
        <v>309</v>
      </c>
      <c r="H80" s="13" t="s">
        <v>310</v>
      </c>
      <c r="I80" s="22" t="s">
        <v>311</v>
      </c>
      <c r="J80" s="22" t="s">
        <v>311</v>
      </c>
      <c r="K80" s="13" t="s">
        <v>394</v>
      </c>
    </row>
    <row r="81" spans="1:11" s="14" customFormat="1" ht="30.75">
      <c r="A81" s="12">
        <v>74</v>
      </c>
      <c r="B81" s="38" t="str">
        <f t="shared" si="1"/>
        <v>                                 Eingabe der Daten für besohlte Schwellen</v>
      </c>
      <c r="C81" s="13" t="s">
        <v>312</v>
      </c>
      <c r="D81" s="22" t="s">
        <v>313</v>
      </c>
      <c r="E81" s="24" t="s">
        <v>314</v>
      </c>
      <c r="F81" s="14" t="s">
        <v>315</v>
      </c>
      <c r="G81" s="14" t="s">
        <v>315</v>
      </c>
      <c r="H81" s="13" t="s">
        <v>316</v>
      </c>
      <c r="I81" s="22" t="s">
        <v>317</v>
      </c>
      <c r="J81" s="22" t="s">
        <v>318</v>
      </c>
      <c r="K81" s="41" t="s">
        <v>395</v>
      </c>
    </row>
    <row r="82" spans="1:11" s="14" customFormat="1" ht="20.25">
      <c r="A82" s="12">
        <v>75</v>
      </c>
      <c r="B82" s="38" t="str">
        <f t="shared" si="1"/>
        <v>Falsche Eingabe</v>
      </c>
      <c r="C82" s="13" t="s">
        <v>319</v>
      </c>
      <c r="D82" s="22" t="s">
        <v>302</v>
      </c>
      <c r="E82" s="24" t="s">
        <v>320</v>
      </c>
      <c r="F82" s="14" t="s">
        <v>321</v>
      </c>
      <c r="G82" s="14" t="s">
        <v>321</v>
      </c>
      <c r="H82" s="13" t="s">
        <v>319</v>
      </c>
      <c r="I82" s="22" t="s">
        <v>322</v>
      </c>
      <c r="J82" s="22" t="s">
        <v>322</v>
      </c>
      <c r="K82" s="13" t="s">
        <v>378</v>
      </c>
    </row>
    <row r="83" spans="1:11" s="14" customFormat="1" ht="20.25">
      <c r="A83" s="12">
        <v>76</v>
      </c>
      <c r="B83" s="38" t="str">
        <f t="shared" si="1"/>
        <v>Jahren</v>
      </c>
      <c r="C83" s="13" t="s">
        <v>323</v>
      </c>
      <c r="D83" s="14" t="s">
        <v>255</v>
      </c>
      <c r="E83" s="24" t="s">
        <v>108</v>
      </c>
      <c r="F83" s="14" t="s">
        <v>324</v>
      </c>
      <c r="G83" s="14" t="s">
        <v>324</v>
      </c>
      <c r="H83" s="13" t="s">
        <v>323</v>
      </c>
      <c r="I83" s="14" t="s">
        <v>109</v>
      </c>
      <c r="J83" s="14" t="s">
        <v>109</v>
      </c>
      <c r="K83" s="16" t="s">
        <v>347</v>
      </c>
    </row>
    <row r="84" spans="1:11" s="14" customFormat="1" ht="20.25">
      <c r="A84" s="12">
        <v>77</v>
      </c>
      <c r="B84" s="38">
        <f t="shared" si="1"/>
        <v>0</v>
      </c>
      <c r="C84" s="13"/>
      <c r="D84" s="14" t="s">
        <v>309</v>
      </c>
      <c r="E84" s="14" t="s">
        <v>309</v>
      </c>
      <c r="F84" s="14" t="s">
        <v>325</v>
      </c>
      <c r="G84" s="14" t="s">
        <v>325</v>
      </c>
      <c r="H84" s="13"/>
      <c r="I84" s="14" t="s">
        <v>325</v>
      </c>
      <c r="J84" s="14" t="s">
        <v>325</v>
      </c>
      <c r="K84" s="13"/>
    </row>
    <row r="85" spans="1:11" s="14" customFormat="1" ht="20.25">
      <c r="A85" s="12">
        <v>78</v>
      </c>
      <c r="B85" s="38">
        <f t="shared" si="1"/>
        <v>0</v>
      </c>
      <c r="C85" s="13"/>
      <c r="D85" s="14" t="s">
        <v>315</v>
      </c>
      <c r="E85" s="14" t="s">
        <v>315</v>
      </c>
      <c r="F85" s="14" t="s">
        <v>326</v>
      </c>
      <c r="G85" s="14" t="s">
        <v>326</v>
      </c>
      <c r="H85" s="13"/>
      <c r="I85" s="14" t="s">
        <v>326</v>
      </c>
      <c r="J85" s="14" t="s">
        <v>326</v>
      </c>
      <c r="K85" s="13"/>
    </row>
    <row r="86" spans="1:11" s="14" customFormat="1" ht="20.25">
      <c r="A86" s="12">
        <v>79</v>
      </c>
      <c r="B86" s="38">
        <f t="shared" si="1"/>
        <v>0</v>
      </c>
      <c r="C86" s="13"/>
      <c r="D86" s="14" t="s">
        <v>321</v>
      </c>
      <c r="E86" s="14" t="s">
        <v>321</v>
      </c>
      <c r="F86" s="14" t="s">
        <v>327</v>
      </c>
      <c r="G86" s="14" t="s">
        <v>327</v>
      </c>
      <c r="H86" s="13"/>
      <c r="I86" s="14" t="s">
        <v>327</v>
      </c>
      <c r="J86" s="14" t="s">
        <v>327</v>
      </c>
      <c r="K86" s="13"/>
    </row>
    <row r="87" spans="1:11" s="14" customFormat="1" ht="20.25">
      <c r="A87" s="12">
        <v>80</v>
      </c>
      <c r="B87" s="38">
        <f t="shared" si="1"/>
        <v>0</v>
      </c>
      <c r="C87" s="13"/>
      <c r="D87" s="14" t="s">
        <v>324</v>
      </c>
      <c r="E87" s="14" t="s">
        <v>324</v>
      </c>
      <c r="F87" s="14" t="s">
        <v>328</v>
      </c>
      <c r="G87" s="14" t="s">
        <v>328</v>
      </c>
      <c r="H87" s="13"/>
      <c r="I87" s="14" t="s">
        <v>328</v>
      </c>
      <c r="J87" s="14" t="s">
        <v>328</v>
      </c>
      <c r="K87" s="13"/>
    </row>
    <row r="88" spans="1:11" s="14" customFormat="1" ht="20.25">
      <c r="A88" s="12">
        <v>81</v>
      </c>
      <c r="B88" s="38">
        <f t="shared" si="1"/>
        <v>0</v>
      </c>
      <c r="C88" s="13"/>
      <c r="D88" s="14" t="s">
        <v>325</v>
      </c>
      <c r="E88" s="14" t="s">
        <v>325</v>
      </c>
      <c r="F88" s="14" t="s">
        <v>329</v>
      </c>
      <c r="G88" s="14" t="s">
        <v>329</v>
      </c>
      <c r="H88" s="13"/>
      <c r="I88" s="14" t="s">
        <v>329</v>
      </c>
      <c r="J88" s="14" t="s">
        <v>329</v>
      </c>
      <c r="K88" s="13"/>
    </row>
    <row r="89" spans="1:11" s="14" customFormat="1" ht="20.25">
      <c r="A89" s="12">
        <v>82</v>
      </c>
      <c r="B89" s="38">
        <f t="shared" si="1"/>
        <v>0</v>
      </c>
      <c r="C89" s="13"/>
      <c r="D89" s="14" t="s">
        <v>326</v>
      </c>
      <c r="E89" s="14" t="s">
        <v>326</v>
      </c>
      <c r="F89" s="14" t="s">
        <v>330</v>
      </c>
      <c r="G89" s="14" t="s">
        <v>330</v>
      </c>
      <c r="H89" s="13"/>
      <c r="I89" s="14" t="s">
        <v>330</v>
      </c>
      <c r="J89" s="14" t="s">
        <v>330</v>
      </c>
      <c r="K89" s="13"/>
    </row>
    <row r="90" spans="1:11" s="14" customFormat="1" ht="20.25">
      <c r="A90" s="12">
        <v>83</v>
      </c>
      <c r="B90" s="38">
        <f t="shared" si="1"/>
        <v>0</v>
      </c>
      <c r="C90" s="13"/>
      <c r="D90" s="14" t="s">
        <v>327</v>
      </c>
      <c r="E90" s="14" t="s">
        <v>327</v>
      </c>
      <c r="F90" s="14" t="s">
        <v>331</v>
      </c>
      <c r="G90" s="14" t="s">
        <v>331</v>
      </c>
      <c r="H90" s="13"/>
      <c r="I90" s="14" t="s">
        <v>331</v>
      </c>
      <c r="J90" s="14" t="s">
        <v>331</v>
      </c>
      <c r="K90" s="13"/>
    </row>
    <row r="91" spans="1:11" s="14" customFormat="1" ht="20.25">
      <c r="A91" s="12"/>
      <c r="B91" s="38">
        <f t="shared" si="1"/>
        <v>0</v>
      </c>
      <c r="C91" s="13"/>
      <c r="D91" s="14" t="s">
        <v>328</v>
      </c>
      <c r="E91" s="14" t="s">
        <v>328</v>
      </c>
      <c r="H91" s="13"/>
      <c r="K91" s="13"/>
    </row>
    <row r="92" spans="1:11" s="14" customFormat="1" ht="20.25">
      <c r="A92" s="12"/>
      <c r="B92" s="38">
        <f t="shared" si="1"/>
        <v>0</v>
      </c>
      <c r="C92" s="13"/>
      <c r="D92" s="14" t="s">
        <v>329</v>
      </c>
      <c r="E92" s="14" t="s">
        <v>329</v>
      </c>
      <c r="H92" s="13"/>
      <c r="K92" s="13"/>
    </row>
    <row r="93" spans="1:11" s="14" customFormat="1" ht="20.25">
      <c r="A93" s="12"/>
      <c r="B93" s="38">
        <f t="shared" si="1"/>
        <v>0</v>
      </c>
      <c r="C93" s="13"/>
      <c r="D93" s="14" t="s">
        <v>330</v>
      </c>
      <c r="E93" s="14" t="s">
        <v>330</v>
      </c>
      <c r="H93" s="13"/>
      <c r="K93" s="13"/>
    </row>
    <row r="94" spans="1:11" s="14" customFormat="1" ht="20.25">
      <c r="A94" s="12"/>
      <c r="B94" s="38">
        <f t="shared" si="1"/>
        <v>0</v>
      </c>
      <c r="C94" s="13"/>
      <c r="D94" s="14" t="s">
        <v>331</v>
      </c>
      <c r="E94" s="14" t="s">
        <v>331</v>
      </c>
      <c r="H94" s="13"/>
      <c r="K94" s="13"/>
    </row>
    <row r="95" spans="1:11" s="14" customFormat="1" ht="20.25">
      <c r="A95" s="12"/>
      <c r="B95" s="38">
        <f t="shared" si="1"/>
        <v>0</v>
      </c>
      <c r="C95" s="13"/>
      <c r="H95" s="13"/>
      <c r="K95" s="13"/>
    </row>
    <row r="96" spans="1:11" s="14" customFormat="1" ht="20.25">
      <c r="A96" s="12"/>
      <c r="B96" s="38">
        <f t="shared" si="1"/>
        <v>0</v>
      </c>
      <c r="C96" s="13"/>
      <c r="D96" s="13"/>
      <c r="H96" s="13"/>
      <c r="K96" s="13"/>
    </row>
    <row r="97" spans="1:11" s="14" customFormat="1" ht="20.25">
      <c r="A97" s="12"/>
      <c r="B97" s="38">
        <f t="shared" si="1"/>
        <v>0</v>
      </c>
      <c r="C97" s="13"/>
      <c r="D97" s="13"/>
      <c r="H97" s="13"/>
      <c r="K97" s="13"/>
    </row>
    <row r="98" spans="1:11" s="14" customFormat="1" ht="20.25">
      <c r="A98" s="12"/>
      <c r="B98" s="38">
        <f t="shared" si="1"/>
        <v>0</v>
      </c>
      <c r="C98" s="13"/>
      <c r="D98" s="13"/>
      <c r="H98" s="13"/>
      <c r="K98" s="13"/>
    </row>
    <row r="99" spans="1:11" s="14" customFormat="1" ht="20.25">
      <c r="A99" s="12"/>
      <c r="B99" s="38">
        <f t="shared" si="1"/>
        <v>0</v>
      </c>
      <c r="C99" s="13"/>
      <c r="D99" s="13"/>
      <c r="E99" s="24" t="s">
        <v>170</v>
      </c>
      <c r="H99" s="13"/>
      <c r="K99" s="13"/>
    </row>
    <row r="100" spans="1:11" s="14" customFormat="1" ht="20.25">
      <c r="A100" s="12"/>
      <c r="B100" s="38">
        <f t="shared" si="1"/>
        <v>0</v>
      </c>
      <c r="C100" s="13"/>
      <c r="D100" s="13"/>
      <c r="E100" s="24" t="s">
        <v>332</v>
      </c>
      <c r="H100" s="13"/>
      <c r="K100" s="13"/>
    </row>
    <row r="101" ht="15">
      <c r="E101" s="14"/>
    </row>
    <row r="102" ht="15">
      <c r="E102" s="14"/>
    </row>
    <row r="103" ht="15">
      <c r="E103" s="14"/>
    </row>
    <row r="104" ht="15">
      <c r="E104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&amp;L&amp;6Dr.-Ing. habil. Hermann Gärlich
      Beratender Ingenieur&amp;R&amp;6&amp;D    &amp;T</oddHeader>
    <oddFooter>&amp;L&amp;6&amp;F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Dr. Gärlich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Gärlich</dc:creator>
  <cp:keywords/>
  <dc:description/>
  <cp:lastModifiedBy>Aileen Fillies</cp:lastModifiedBy>
  <cp:lastPrinted>2005-04-04T07:28:59Z</cp:lastPrinted>
  <dcterms:created xsi:type="dcterms:W3CDTF">2003-05-14T17:07:39Z</dcterms:created>
  <dcterms:modified xsi:type="dcterms:W3CDTF">2010-08-31T09:37:45Z</dcterms:modified>
  <cp:category/>
  <cp:version/>
  <cp:contentType/>
  <cp:contentStatus/>
</cp:coreProperties>
</file>